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Encodage" sheetId="1" r:id="rId1"/>
    <sheet name="Paiement" sheetId="2" r:id="rId2"/>
    <sheet name="Paiement old" sheetId="3" state="hidden" r:id="rId3"/>
    <sheet name="Cal 2018" sheetId="4" state="hidden" r:id="rId4"/>
    <sheet name="Help!" sheetId="5" r:id="rId5"/>
  </sheets>
  <definedNames>
    <definedName name="_xlnm.Print_Area" localSheetId="0">'Encodage'!$A$1:$AB$59</definedName>
    <definedName name="_xlnm.Print_Area" localSheetId="4">'Help!'!$A$1:$P$43</definedName>
    <definedName name="_xlnm.Print_Area" localSheetId="1">'Paiement'!$A$1:$J$75</definedName>
  </definedNames>
  <calcPr fullCalcOnLoad="1"/>
</workbook>
</file>

<file path=xl/comments1.xml><?xml version="1.0" encoding="utf-8"?>
<comments xmlns="http://schemas.openxmlformats.org/spreadsheetml/2006/main">
  <authors>
    <author>bp2721</author>
  </authors>
  <commentList>
    <comment ref="G10" authorId="0">
      <text>
        <r>
          <rPr>
            <sz val="9"/>
            <rFont val="Tahoma"/>
            <family val="2"/>
          </rPr>
          <t xml:space="preserve">Merci d'indiquer ici, si vous en avez connaissance, votre numéro de matricule Saint-Luc au format L+6 chiffres. Ex. L009842 ou L032125.
</t>
        </r>
      </text>
    </comment>
    <comment ref="G11" authorId="0">
      <text>
        <r>
          <rPr>
            <sz val="9"/>
            <rFont val="Tahoma"/>
            <family val="2"/>
          </rPr>
          <t xml:space="preserve">Merci d'indiquer ici votre identifiant utilisateur Saint-Luc, tel que vous l'utilisez pour vos accès informatiques, au format initiale du nom de famille + initiale du prénom + 4 chiffres. Ex. NP1234
</t>
        </r>
      </text>
    </comment>
  </commentList>
</comments>
</file>

<file path=xl/sharedStrings.xml><?xml version="1.0" encoding="utf-8"?>
<sst xmlns="http://schemas.openxmlformats.org/spreadsheetml/2006/main" count="276" uniqueCount="205">
  <si>
    <t>Mercredi</t>
  </si>
  <si>
    <t>Jour de l´an</t>
  </si>
  <si>
    <t>Lundi</t>
  </si>
  <si>
    <t>Vendredi</t>
  </si>
  <si>
    <t>Dimanche</t>
  </si>
  <si>
    <t>Lundi de Pâques</t>
  </si>
  <si>
    <t>Jeudi</t>
  </si>
  <si>
    <t>Fête du travail</t>
  </si>
  <si>
    <t>Ascension</t>
  </si>
  <si>
    <t>Lundi de Pentecôte</t>
  </si>
  <si>
    <t>Fête nationale Belge</t>
  </si>
  <si>
    <t>Assomption</t>
  </si>
  <si>
    <t>Samedi</t>
  </si>
  <si>
    <t>Toussaint</t>
  </si>
  <si>
    <t>Mardi</t>
  </si>
  <si>
    <t>Armistice 1918</t>
  </si>
  <si>
    <t>Noël</t>
  </si>
  <si>
    <t>Données d'identification</t>
  </si>
  <si>
    <t>Nom</t>
  </si>
  <si>
    <t>Prénom</t>
  </si>
  <si>
    <t>Candidat spécialiste en :</t>
  </si>
  <si>
    <t>Bénéficiaire d'une bourse :</t>
  </si>
  <si>
    <t>Choix pour l'opting out :</t>
  </si>
  <si>
    <t>Nom du Maître de stage :</t>
  </si>
  <si>
    <t>Clinique :</t>
  </si>
  <si>
    <t>Service :</t>
  </si>
  <si>
    <t>Dossier d'exportation</t>
  </si>
  <si>
    <t>c:\temp\</t>
  </si>
  <si>
    <t>Fériés 2014</t>
  </si>
  <si>
    <t>Mois</t>
  </si>
  <si>
    <t>Janvier</t>
  </si>
  <si>
    <t>Fevrier</t>
  </si>
  <si>
    <t>Mars</t>
  </si>
  <si>
    <t>Avril</t>
  </si>
  <si>
    <t>Mai</t>
  </si>
  <si>
    <t>Juin</t>
  </si>
  <si>
    <t>Juillet</t>
  </si>
  <si>
    <t>Août</t>
  </si>
  <si>
    <t>Septembre</t>
  </si>
  <si>
    <t>Octobre</t>
  </si>
  <si>
    <t>Novembre</t>
  </si>
  <si>
    <t>Décembre</t>
  </si>
  <si>
    <t>Date</t>
  </si>
  <si>
    <t>Jour semaine</t>
  </si>
  <si>
    <t>Garde Appel forfait</t>
  </si>
  <si>
    <t>Tarif Garde Appel (euros)</t>
  </si>
  <si>
    <t>Tarif Garde sur place (euros)</t>
  </si>
  <si>
    <t>Min</t>
  </si>
  <si>
    <t>Max</t>
  </si>
  <si>
    <t>Mois numé</t>
  </si>
  <si>
    <t>Année</t>
  </si>
  <si>
    <t>Type</t>
  </si>
  <si>
    <t>Medecine</t>
  </si>
  <si>
    <t>Dentisterie</t>
  </si>
  <si>
    <t>Oui</t>
  </si>
  <si>
    <t>Non</t>
  </si>
  <si>
    <t>Férié?</t>
  </si>
  <si>
    <t>Samedi?</t>
  </si>
  <si>
    <t>CLINIQUES UNIVERSITAIRES SAINT-LUC</t>
  </si>
  <si>
    <t>Département des Ressources humaines</t>
  </si>
  <si>
    <t>Nom et prénom de l'assistant :</t>
  </si>
  <si>
    <t>Assistant candidat spécialiste boursier :</t>
  </si>
  <si>
    <t xml:space="preserve">Ayant choisi pour l'opting-out : </t>
  </si>
  <si>
    <t>Prestations du mois de :</t>
  </si>
  <si>
    <t>1)</t>
  </si>
  <si>
    <t>GARDES</t>
  </si>
  <si>
    <t>1.</t>
  </si>
  <si>
    <t>"sur place "</t>
  </si>
  <si>
    <t>Type de garde</t>
  </si>
  <si>
    <t>Montant brut</t>
  </si>
  <si>
    <t>Total</t>
  </si>
  <si>
    <t>garde</t>
  </si>
  <si>
    <t>calculé</t>
  </si>
  <si>
    <t>Sous-total  1</t>
  </si>
  <si>
    <t>2.</t>
  </si>
  <si>
    <r>
      <t>d'appel</t>
    </r>
    <r>
      <rPr>
        <sz val="12"/>
        <rFont val="Arial"/>
        <family val="2"/>
      </rPr>
      <t xml:space="preserve"> ( seulement si prestations égales ou supérieures à 1 heure )</t>
    </r>
  </si>
  <si>
    <t xml:space="preserve"> jour ou nuit</t>
  </si>
  <si>
    <t>Sous-total  2</t>
  </si>
  <si>
    <t>TOTAUX</t>
  </si>
  <si>
    <t>Sous-total 1 + sous-total 2 =</t>
  </si>
  <si>
    <t>(code 7C4 de la fiche de rémunération )</t>
  </si>
  <si>
    <t>2)</t>
  </si>
  <si>
    <r>
      <t>Frais de déplacement</t>
    </r>
    <r>
      <rPr>
        <sz val="12"/>
        <rFont val="Arial"/>
        <family val="2"/>
      </rPr>
      <t xml:space="preserve"> ( dans le cadre des gardes d'appel)</t>
    </r>
  </si>
  <si>
    <t>Nombre de déplacements</t>
  </si>
  <si>
    <t>Valeur</t>
  </si>
  <si>
    <t>(code 7D1 de la fiche de rémunération )</t>
  </si>
  <si>
    <r>
      <t>(1)</t>
    </r>
    <r>
      <rPr>
        <sz val="13"/>
        <rFont val="Arial"/>
        <family val="2"/>
      </rPr>
      <t>.</t>
    </r>
  </si>
  <si>
    <r>
      <t xml:space="preserve">Ce document doit parvenir au Département des Ressources humaines des Cliniques universitaires Saint-Luc, av. Hippocrate 10 à 1200 Bruxelles (Fax: 02/764 89 01 ou 764 89 02 </t>
    </r>
    <r>
      <rPr>
        <b/>
        <sz val="11"/>
        <rFont val="Arial"/>
        <family val="2"/>
      </rPr>
      <t xml:space="preserve">au plus tard </t>
    </r>
    <r>
      <rPr>
        <b/>
        <i/>
        <sz val="11"/>
        <rFont val="Arial"/>
        <family val="2"/>
      </rPr>
      <t>le 15 du mois qui suit celui des prestations pour que les montants indiqués soient liquidés en fin de ce même mois.</t>
    </r>
  </si>
  <si>
    <t>Ces mesures valent pour 1 an : elles seront évaluées fin 2013 et donneront éventuellement lieu à ajustement pour 2014.</t>
  </si>
  <si>
    <t xml:space="preserve">Date :    </t>
  </si>
  <si>
    <t>Signature de l'assistant.</t>
  </si>
  <si>
    <t>Nom et signature du Maître de stage</t>
  </si>
  <si>
    <t>ou de son représentant.</t>
  </si>
  <si>
    <t>Heures prestées</t>
  </si>
  <si>
    <t>jour</t>
  </si>
  <si>
    <t>référence</t>
  </si>
  <si>
    <t>nuit</t>
  </si>
  <si>
    <t>appel</t>
  </si>
  <si>
    <t>frais de déplacement</t>
  </si>
  <si>
    <t>MACCS</t>
  </si>
  <si>
    <t>DACCS</t>
  </si>
  <si>
    <t>MACCS1</t>
  </si>
  <si>
    <t>MACCS2</t>
  </si>
  <si>
    <t>MACCS3</t>
  </si>
  <si>
    <t>MACCS4</t>
  </si>
  <si>
    <t>MACCS5</t>
  </si>
  <si>
    <t>MACCS6</t>
  </si>
  <si>
    <t>MACCS7</t>
  </si>
  <si>
    <t>DACCS1</t>
  </si>
  <si>
    <t>DACCS2</t>
  </si>
  <si>
    <t>DACCS3</t>
  </si>
  <si>
    <t>DACCS4</t>
  </si>
  <si>
    <t>DACCS5</t>
  </si>
  <si>
    <t>DACCS6</t>
  </si>
  <si>
    <t>DACCS7</t>
  </si>
  <si>
    <t>Jour corrigé</t>
  </si>
  <si>
    <t>TYPE</t>
  </si>
  <si>
    <t>Trimestre</t>
  </si>
  <si>
    <t>Vérification encodage</t>
  </si>
  <si>
    <r>
      <t xml:space="preserve"> </t>
    </r>
    <r>
      <rPr>
        <b/>
        <i/>
        <sz val="13"/>
        <rFont val="Arial"/>
        <family val="2"/>
      </rPr>
      <t xml:space="preserve">   </t>
    </r>
    <r>
      <rPr>
        <b/>
        <i/>
        <u val="single"/>
        <sz val="13"/>
        <rFont val="Arial"/>
        <family val="2"/>
      </rPr>
      <t>prestées à partir du 1er janvier 2014</t>
    </r>
    <r>
      <rPr>
        <b/>
        <i/>
        <sz val="13"/>
        <rFont val="Arial"/>
        <family val="2"/>
      </rPr>
      <t xml:space="preserve">     Déclaration sur l'honneur  </t>
    </r>
  </si>
  <si>
    <t>Total Garde Appel:</t>
  </si>
  <si>
    <t>semaine</t>
  </si>
  <si>
    <t>Semaine Min</t>
  </si>
  <si>
    <t>Semaine Max</t>
  </si>
  <si>
    <t>Nbre de sem</t>
  </si>
  <si>
    <t>Calcul Moyenne hebdo</t>
  </si>
  <si>
    <t>Semaine</t>
  </si>
  <si>
    <t>Moyenne</t>
  </si>
  <si>
    <t>Total prestation</t>
  </si>
  <si>
    <t>Identification.</t>
  </si>
  <si>
    <t>Date:</t>
  </si>
  <si>
    <t>Nom:</t>
  </si>
  <si>
    <t>Prénom:</t>
  </si>
  <si>
    <t>Clinique:</t>
  </si>
  <si>
    <t>Maitre de Stage</t>
  </si>
  <si>
    <t>Service:</t>
  </si>
  <si>
    <t>Remboursements</t>
  </si>
  <si>
    <t>Garde sur place</t>
  </si>
  <si>
    <t>Sous Total</t>
  </si>
  <si>
    <t>Grand Total</t>
  </si>
  <si>
    <t>Déplacement</t>
  </si>
  <si>
    <t>Sélectionner l'onglet "Encodage"</t>
  </si>
  <si>
    <t>Sélectionner si vous êtes titulaire d'une bourse</t>
  </si>
  <si>
    <t>Séclectionner si vous avez opté pour l'opting out</t>
  </si>
  <si>
    <t>Sélectionner le mois de vos prestations dans la liste déroulante (le calendrier s'actualise automatiquement)</t>
  </si>
  <si>
    <t>Ces mesures contraignantes se justifient par la nécessité légale de tenir un registre des prestations à fournir en cas d’inspection du travail.</t>
  </si>
  <si>
    <t>ATTENTION</t>
  </si>
  <si>
    <t>Encoder le nom de votre maitre de stage et votre clinique de stage</t>
  </si>
  <si>
    <t>Cliniques Universitaires Saint-Luc
Département des Ressources Humaines</t>
  </si>
  <si>
    <t>garde appel (heures sur place)</t>
  </si>
  <si>
    <t>Type de tarif</t>
  </si>
  <si>
    <t>Jour de la semaine</t>
  </si>
  <si>
    <t>Jour</t>
  </si>
  <si>
    <t>Jour Nbr</t>
  </si>
  <si>
    <t>Garde d'appel (jour et nuit)</t>
  </si>
  <si>
    <t>- Gardes sur place : week-end (colonne Q) et nuit de semaine (colonne R)</t>
  </si>
  <si>
    <t xml:space="preserve">- Gardes d’appel : indemnité forfaitaire --&gt; colonne T : indiquez OUI à l’aide du menu déroulant si vous êtes de garde d’appel (que vous ayez été rappelé ou non) </t>
  </si>
  <si>
    <t xml:space="preserve">La Loi prévoit la possibilité pour le Maccs de comptabiliser max 4h/semaine de travail scientifique (dont max 2h sur place, à St-Luc) : à encoder dans les colonnes P ou Q. </t>
  </si>
  <si>
    <t xml:space="preserve">code 7C4 de la fiche de rémunération </t>
  </si>
  <si>
    <t xml:space="preserve">code 7D1 de la fiche de rémunération </t>
  </si>
  <si>
    <t xml:space="preserve">   Paiement des gardes des assistants candidats-spécialistes en Médecine (1)</t>
  </si>
  <si>
    <t xml:space="preserve">1: Merci de suivre la procédure décrite ci-dessous. </t>
  </si>
  <si>
    <t>AIDE A L'ENCODAGE</t>
  </si>
  <si>
    <t xml:space="preserve">   Enregistrez vos prestations en indiquant un nombre d’heures:</t>
  </si>
  <si>
    <t xml:space="preserve">   Dans la colonne AB, le total des heures de formation peut être encodé à titre informatif.  Elles ne sont pas comptabilisées dans le décompte total des heures. </t>
  </si>
  <si>
    <t xml:space="preserve">  Lors de l’encodage des gardes, leur valorisation en € est indiquée dans la colonne X (appel) et dans la colonne Y (nuit de semaine et week-end).</t>
  </si>
  <si>
    <t xml:space="preserve">  Le nombre de déplacements s’enregistre dans la colonne Z, avec le forfait repris dans la colonne AA </t>
  </si>
  <si>
    <t xml:space="preserve">   ou NON, le cas échéant ; heures sur place avant minuit (colonne U) et heures sur place après minuit (colonne V).</t>
  </si>
  <si>
    <r>
      <rPr>
        <b/>
        <i/>
        <sz val="24"/>
        <rFont val="Arial"/>
        <family val="2"/>
      </rPr>
      <t xml:space="preserve"> Déclaration sur l'honneur </t>
    </r>
    <r>
      <rPr>
        <b/>
        <i/>
        <u val="single"/>
        <sz val="24"/>
        <rFont val="Arial"/>
        <family val="2"/>
      </rPr>
      <t xml:space="preserve"> </t>
    </r>
  </si>
  <si>
    <t>Sélectionner votre spécialité: Médecine ou Dentisterie</t>
  </si>
  <si>
    <t xml:space="preserve">Si vous souhaitez ré-utiliser le même fichier pour enregistrer les </t>
  </si>
  <si>
    <t>de réinitialiser le fichier.</t>
  </si>
  <si>
    <t>Merci d’encoder TOUTES les données avec précision.</t>
  </si>
  <si>
    <t>Veillez à cliquer sur "Activer le contenu" lors de l'ouverture du</t>
  </si>
  <si>
    <t xml:space="preserve"> fichier pour les versions à partir de 2007.</t>
  </si>
  <si>
    <t>données du mois suivant, cliquer sur "Effacer les données" afin</t>
  </si>
  <si>
    <t>Horaire jour (heures)</t>
  </si>
  <si>
    <t>Garde jour (heures)</t>
  </si>
  <si>
    <t>MACCS : Garde nuit (heures)
DACCS : Soir (20h-22h)</t>
  </si>
  <si>
    <t>Garde Appel heure(s) avant minuit</t>
  </si>
  <si>
    <t>Garde Appel heure(s) après minuit</t>
  </si>
  <si>
    <t>Tarif (euros)</t>
  </si>
  <si>
    <t>Heures de formation</t>
  </si>
  <si>
    <t>Total Garde sur place</t>
  </si>
  <si>
    <t>Merci de compléter TOUTES les données d'identification!</t>
  </si>
  <si>
    <t>Frais de déplacement (si gardes d'appel)</t>
  </si>
  <si>
    <t>Mois de:</t>
  </si>
  <si>
    <t>Ce document doit parvenir au Département des Ressources humaines des Cliniques universitaires Saint-Luc, av. Hippocrate 10 à 1200 Bruxelles (Fax: 02/764 89 01 ou 764 89 02) au plus tard le 15 du mois qui suit celui des prestations pour que les montants indiqués soient liquidés en fin de ce même mois.</t>
  </si>
  <si>
    <t>Une fois son fichier xls validé, le MACCS imprime sa feuille de gardes et la dépose chez son Maître de stage pour signature.</t>
  </si>
  <si>
    <t xml:space="preserve"> - Prestations du lundi au vendredi (de jour) et prestations du we autres que des gardes (colonne P)</t>
  </si>
  <si>
    <t xml:space="preserve">Encoder  votre service </t>
  </si>
  <si>
    <t>2: Fichier xls et paiement des gardes:</t>
  </si>
  <si>
    <t>Renseignez-vous auprès de la DRH ou Direction médicale de votre lieu de stage afin de savoir à qui remettre votre fichier. Saint-Luc doit uniquement recevoir les fichier des assistants</t>
  </si>
  <si>
    <t>en stage à Saint-Luc.</t>
  </si>
  <si>
    <t>Le Maître de stage signe pour accord et le fait parvenir à la DRH des Cliniques Universitaires Saint-Luc, sous format papier, pour le 15 du mois qui suit au plus tard.</t>
  </si>
  <si>
    <t>Votre feuille de garde doit impérativement être signée par votre maître de stage.</t>
  </si>
  <si>
    <t>Toute feuille de garde arrivée après le 15 du mois sera automatiquement reportée au mois suivant.</t>
  </si>
  <si>
    <t>Les feuilles de garde peuvent être envoyées:</t>
  </si>
  <si>
    <t>* par fax: 02/764.89.01 ou 02/764.89.02</t>
  </si>
  <si>
    <t>* par courrier: Cliniques Universitaires Saint-Luc/DRH - Avenue Hippocrate, 10 à 1200 Bruxelles</t>
  </si>
  <si>
    <t>Matricule Saint-Luc</t>
  </si>
  <si>
    <t>Identifiant utilisateur</t>
  </si>
  <si>
    <t>Encoder votre nom, votre prénom, votre identifiant utilisateur et/ou votre matricule Saint-Luc</t>
  </si>
  <si>
    <t>Si vous ne connaissez pas votre identifiant utilisateur, merci d'au moins indiquer votre matricule (cf fiche de paie) .</t>
  </si>
  <si>
    <t>* par mail: drh.administration-saintluc@uclouvain.be</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</si>
</sst>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quot;€&quot;_-;\-* #,##0.00&quot;€&quot;_-;_-* &quot;-&quot;??&quot;€&quot;_-;_-@_-"/>
    <numFmt numFmtId="173" formatCode="#,##0.00\ &quot;€&quot;"/>
    <numFmt numFmtId="174" formatCode="[$-F800]dddd\,\ mmmm\ dd\,\ yyyy"/>
    <numFmt numFmtId="175" formatCode="[$-80C]dddd\ dd\ mmmm\ yyyy"/>
    <numFmt numFmtId="176" formatCode="[$-80C]dddd\ d\ mmmm\ yyyy"/>
  </numFmts>
  <fonts count="114">
    <font>
      <sz val="11"/>
      <color theme="1"/>
      <name val="Calibri"/>
      <family val="2"/>
    </font>
    <font>
      <sz val="11"/>
      <color indexed="8"/>
      <name val="Calibri"/>
      <family val="2"/>
    </font>
    <font>
      <sz val="10"/>
      <name val="Arial"/>
      <family val="2"/>
    </font>
    <font>
      <b/>
      <sz val="8"/>
      <name val="Arial"/>
      <family val="2"/>
    </font>
    <font>
      <sz val="8"/>
      <name val="Arial"/>
      <family val="2"/>
    </font>
    <font>
      <sz val="14"/>
      <name val="Arial"/>
      <family val="2"/>
    </font>
    <font>
      <i/>
      <sz val="14"/>
      <name val="Arial"/>
      <family val="2"/>
    </font>
    <font>
      <b/>
      <sz val="15"/>
      <name val="Arial"/>
      <family val="2"/>
    </font>
    <font>
      <b/>
      <sz val="14"/>
      <name val="Arial"/>
      <family val="2"/>
    </font>
    <font>
      <b/>
      <i/>
      <sz val="14"/>
      <name val="Arial"/>
      <family val="2"/>
    </font>
    <font>
      <b/>
      <i/>
      <sz val="13"/>
      <name val="Arial"/>
      <family val="2"/>
    </font>
    <font>
      <b/>
      <i/>
      <u val="single"/>
      <sz val="13"/>
      <name val="Arial"/>
      <family val="2"/>
    </font>
    <font>
      <b/>
      <i/>
      <sz val="12"/>
      <name val="Arial"/>
      <family val="2"/>
    </font>
    <font>
      <sz val="12"/>
      <name val="Arial"/>
      <family val="2"/>
    </font>
    <font>
      <b/>
      <sz val="12"/>
      <name val="Arial"/>
      <family val="2"/>
    </font>
    <font>
      <sz val="13"/>
      <name val="Arial"/>
      <family val="2"/>
    </font>
    <font>
      <b/>
      <sz val="13"/>
      <name val="Arial"/>
      <family val="2"/>
    </font>
    <font>
      <b/>
      <u val="single"/>
      <sz val="12"/>
      <name val="Arial"/>
      <family val="2"/>
    </font>
    <font>
      <b/>
      <i/>
      <sz val="11"/>
      <name val="Arial"/>
      <family val="2"/>
    </font>
    <font>
      <b/>
      <sz val="11"/>
      <name val="Arial"/>
      <family val="2"/>
    </font>
    <font>
      <b/>
      <i/>
      <sz val="10"/>
      <color indexed="10"/>
      <name val="Arial"/>
      <family val="2"/>
    </font>
    <font>
      <sz val="11"/>
      <name val="Arial"/>
      <family val="2"/>
    </font>
    <font>
      <b/>
      <i/>
      <sz val="10"/>
      <name val="Arial"/>
      <family val="2"/>
    </font>
    <font>
      <sz val="16"/>
      <name val="Arial"/>
      <family val="2"/>
    </font>
    <font>
      <u val="single"/>
      <sz val="16"/>
      <name val="Arial"/>
      <family val="2"/>
    </font>
    <font>
      <b/>
      <sz val="16"/>
      <name val="Arial"/>
      <family val="2"/>
    </font>
    <font>
      <sz val="20"/>
      <name val="Arial"/>
      <family val="2"/>
    </font>
    <font>
      <i/>
      <sz val="18"/>
      <name val="Arial"/>
      <family val="2"/>
    </font>
    <font>
      <i/>
      <sz val="22"/>
      <name val="Arial"/>
      <family val="2"/>
    </font>
    <font>
      <b/>
      <sz val="20"/>
      <name val="Arial"/>
      <family val="2"/>
    </font>
    <font>
      <sz val="22"/>
      <name val="Arial"/>
      <family val="2"/>
    </font>
    <font>
      <b/>
      <i/>
      <u val="single"/>
      <sz val="24"/>
      <name val="Arial"/>
      <family val="2"/>
    </font>
    <font>
      <b/>
      <i/>
      <sz val="24"/>
      <name val="Arial"/>
      <family val="2"/>
    </font>
    <font>
      <u val="single"/>
      <sz val="22"/>
      <name val="Arial"/>
      <family val="2"/>
    </font>
    <font>
      <b/>
      <sz val="22"/>
      <name val="Arial"/>
      <family val="2"/>
    </font>
    <font>
      <sz val="9"/>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1"/>
      <color indexed="8"/>
      <name val="Calibri"/>
      <family val="2"/>
    </font>
    <font>
      <sz val="11"/>
      <color indexed="56"/>
      <name val="Courier New"/>
      <family val="3"/>
    </font>
    <font>
      <b/>
      <sz val="11"/>
      <color indexed="10"/>
      <name val="Calibri"/>
      <family val="2"/>
    </font>
    <font>
      <b/>
      <u val="single"/>
      <sz val="11"/>
      <color indexed="10"/>
      <name val="Calibri"/>
      <family val="2"/>
    </font>
    <font>
      <sz val="14"/>
      <color indexed="8"/>
      <name val="Calibri"/>
      <family val="2"/>
    </font>
    <font>
      <sz val="20"/>
      <color indexed="8"/>
      <name val="Calibri"/>
      <family val="2"/>
    </font>
    <font>
      <sz val="22"/>
      <color indexed="8"/>
      <name val="Calibri"/>
      <family val="2"/>
    </font>
    <font>
      <b/>
      <sz val="11"/>
      <color indexed="62"/>
      <name val="Calibri"/>
      <family val="2"/>
    </font>
    <font>
      <sz val="12"/>
      <color indexed="8"/>
      <name val="Arial"/>
      <family val="2"/>
    </font>
    <font>
      <b/>
      <sz val="22"/>
      <color indexed="8"/>
      <name val="Calibri"/>
      <family val="2"/>
    </font>
    <font>
      <sz val="22"/>
      <color indexed="8"/>
      <name val="Arial"/>
      <family val="2"/>
    </font>
    <font>
      <b/>
      <sz val="22"/>
      <color indexed="8"/>
      <name val="Arial"/>
      <family val="2"/>
    </font>
    <font>
      <i/>
      <sz val="22"/>
      <color indexed="8"/>
      <name val="Arial"/>
      <family val="2"/>
    </font>
    <font>
      <b/>
      <u val="single"/>
      <sz val="22"/>
      <color indexed="8"/>
      <name val="Arial"/>
      <family val="2"/>
    </font>
    <font>
      <sz val="11"/>
      <color indexed="8"/>
      <name val="Arial"/>
      <family val="2"/>
    </font>
    <font>
      <sz val="20"/>
      <color indexed="8"/>
      <name val="Arial"/>
      <family val="2"/>
    </font>
    <font>
      <b/>
      <sz val="18"/>
      <color indexed="10"/>
      <name val="Arial"/>
      <family val="2"/>
    </font>
    <font>
      <b/>
      <i/>
      <sz val="18"/>
      <color indexed="8"/>
      <name val="Arial"/>
      <family val="2"/>
    </font>
    <font>
      <b/>
      <sz val="20"/>
      <color indexed="8"/>
      <name val="Arial"/>
      <family val="2"/>
    </font>
    <font>
      <b/>
      <u val="single"/>
      <sz val="12"/>
      <color indexed="62"/>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11"/>
      <color theme="1"/>
      <name val="Calibri"/>
      <family val="2"/>
    </font>
    <font>
      <sz val="11"/>
      <color rgb="FF003366"/>
      <name val="Courier New"/>
      <family val="3"/>
    </font>
    <font>
      <b/>
      <sz val="11"/>
      <color rgb="FFFF0000"/>
      <name val="Calibri"/>
      <family val="2"/>
    </font>
    <font>
      <b/>
      <u val="single"/>
      <sz val="11"/>
      <color rgb="FFFF0000"/>
      <name val="Calibri"/>
      <family val="2"/>
    </font>
    <font>
      <sz val="14"/>
      <color theme="1"/>
      <name val="Calibri"/>
      <family val="2"/>
    </font>
    <font>
      <sz val="20"/>
      <color theme="1"/>
      <name val="Calibri"/>
      <family val="2"/>
    </font>
    <font>
      <sz val="22"/>
      <color theme="1"/>
      <name val="Calibri"/>
      <family val="2"/>
    </font>
    <font>
      <sz val="11"/>
      <color theme="4" tint="-0.24997000396251678"/>
      <name val="Calibri"/>
      <family val="2"/>
    </font>
    <font>
      <b/>
      <sz val="11"/>
      <color theme="4" tint="-0.24997000396251678"/>
      <name val="Calibri"/>
      <family val="2"/>
    </font>
    <font>
      <sz val="12"/>
      <color theme="1"/>
      <name val="Arial"/>
      <family val="2"/>
    </font>
    <font>
      <b/>
      <sz val="22"/>
      <color theme="1"/>
      <name val="Calibri"/>
      <family val="2"/>
    </font>
    <font>
      <sz val="22"/>
      <color theme="1"/>
      <name val="Arial"/>
      <family val="2"/>
    </font>
    <font>
      <b/>
      <sz val="22"/>
      <color theme="1"/>
      <name val="Arial"/>
      <family val="2"/>
    </font>
    <font>
      <i/>
      <sz val="22"/>
      <color theme="1"/>
      <name val="Arial"/>
      <family val="2"/>
    </font>
    <font>
      <b/>
      <u val="single"/>
      <sz val="22"/>
      <color theme="1"/>
      <name val="Arial"/>
      <family val="2"/>
    </font>
    <font>
      <sz val="11"/>
      <color theme="1"/>
      <name val="Arial"/>
      <family val="2"/>
    </font>
    <font>
      <sz val="20"/>
      <color theme="1"/>
      <name val="Arial"/>
      <family val="2"/>
    </font>
    <font>
      <b/>
      <i/>
      <sz val="18"/>
      <color theme="1"/>
      <name val="Arial"/>
      <family val="2"/>
    </font>
    <font>
      <b/>
      <sz val="20"/>
      <color theme="1"/>
      <name val="Arial"/>
      <family val="2"/>
    </font>
    <font>
      <b/>
      <sz val="18"/>
      <color rgb="FFFF0000"/>
      <name val="Arial"/>
      <family val="2"/>
    </font>
    <font>
      <b/>
      <u val="single"/>
      <sz val="12"/>
      <color theme="4" tint="-0.24997000396251678"/>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theme="0" tint="-0.1499900072813034"/>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border>
    <border>
      <left/>
      <right style="thin"/>
      <top style="thin"/>
      <bottom/>
    </border>
    <border>
      <left style="thin"/>
      <right style="thin"/>
      <top/>
      <bottom/>
    </border>
    <border>
      <left style="thin"/>
      <right/>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border>
    <border>
      <left style="thin"/>
      <right/>
      <top/>
      <bottom/>
    </border>
    <border>
      <left style="thin"/>
      <right/>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style="medium"/>
      <top style="medium"/>
      <bottom style="mediu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82" fillId="30" borderId="0" applyNumberFormat="0" applyBorder="0" applyAlignment="0" applyProtection="0"/>
    <xf numFmtId="0" fontId="2" fillId="0" borderId="0">
      <alignment/>
      <protection/>
    </xf>
    <xf numFmtId="9" fontId="0" fillId="0" borderId="0" applyFont="0" applyFill="0" applyBorder="0" applyAlignment="0" applyProtection="0"/>
    <xf numFmtId="0" fontId="83" fillId="31" borderId="0" applyNumberFormat="0" applyBorder="0" applyAlignment="0" applyProtection="0"/>
    <xf numFmtId="0" fontId="84" fillId="26" borderId="4"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2" borderId="9" applyNumberFormat="0" applyAlignment="0" applyProtection="0"/>
  </cellStyleXfs>
  <cellXfs count="221">
    <xf numFmtId="0" fontId="0" fillId="0" borderId="0" xfId="0" applyFont="1" applyAlignment="1">
      <alignment/>
    </xf>
    <xf numFmtId="0" fontId="4" fillId="0" borderId="0" xfId="52" applyFont="1">
      <alignment/>
      <protection/>
    </xf>
    <xf numFmtId="0" fontId="4" fillId="0" borderId="0" xfId="52" applyFont="1" applyBorder="1">
      <alignment/>
      <protection/>
    </xf>
    <xf numFmtId="0" fontId="4" fillId="33" borderId="10" xfId="52" applyFont="1" applyFill="1" applyBorder="1" applyAlignment="1">
      <alignment horizontal="left"/>
      <protection/>
    </xf>
    <xf numFmtId="0" fontId="4" fillId="0" borderId="10" xfId="52" applyFont="1" applyBorder="1" applyProtection="1">
      <alignment/>
      <protection locked="0"/>
    </xf>
    <xf numFmtId="0" fontId="4" fillId="33" borderId="10" xfId="52" applyFont="1" applyFill="1" applyBorder="1">
      <alignment/>
      <protection/>
    </xf>
    <xf numFmtId="0" fontId="3" fillId="0" borderId="0" xfId="52" applyFont="1" applyBorder="1" applyAlignment="1">
      <alignment horizontal="center"/>
      <protection/>
    </xf>
    <xf numFmtId="0" fontId="0" fillId="0" borderId="10" xfId="0" applyBorder="1" applyAlignment="1">
      <alignment wrapText="1"/>
    </xf>
    <xf numFmtId="14" fontId="0" fillId="0" borderId="10" xfId="0" applyNumberFormat="1" applyBorder="1" applyAlignment="1">
      <alignment wrapText="1"/>
    </xf>
    <xf numFmtId="0" fontId="0" fillId="0" borderId="10" xfId="0" applyBorder="1" applyAlignment="1">
      <alignment/>
    </xf>
    <xf numFmtId="0" fontId="92" fillId="0" borderId="10" xfId="0" applyFont="1" applyBorder="1" applyAlignment="1">
      <alignment/>
    </xf>
    <xf numFmtId="2" fontId="0" fillId="0" borderId="0" xfId="0" applyNumberFormat="1" applyAlignment="1">
      <alignment horizontal="center" vertical="center" wrapText="1"/>
    </xf>
    <xf numFmtId="0" fontId="4" fillId="33" borderId="10" xfId="52" applyFont="1" applyFill="1" applyBorder="1" applyAlignment="1">
      <alignment vertical="center" wrapText="1"/>
      <protection/>
    </xf>
    <xf numFmtId="14" fontId="93" fillId="0" borderId="10" xfId="0" applyNumberFormat="1" applyFont="1" applyBorder="1" applyAlignment="1">
      <alignment/>
    </xf>
    <xf numFmtId="14" fontId="0" fillId="0" borderId="10" xfId="0" applyNumberFormat="1" applyBorder="1" applyAlignment="1">
      <alignment/>
    </xf>
    <xf numFmtId="0" fontId="92" fillId="0" borderId="0" xfId="0" applyFont="1" applyBorder="1" applyAlignment="1">
      <alignment horizontal="center"/>
    </xf>
    <xf numFmtId="0" fontId="0" fillId="0" borderId="0" xfId="0" applyBorder="1" applyAlignment="1">
      <alignment wrapText="1"/>
    </xf>
    <xf numFmtId="0" fontId="4" fillId="0" borderId="0" xfId="52" applyFont="1" applyBorder="1" applyProtection="1">
      <alignment/>
      <protection locked="0"/>
    </xf>
    <xf numFmtId="0" fontId="4" fillId="34" borderId="10" xfId="52" applyFont="1" applyFill="1" applyBorder="1" applyAlignment="1">
      <alignment vertical="center" wrapText="1"/>
      <protection/>
    </xf>
    <xf numFmtId="0" fontId="0" fillId="34" borderId="10" xfId="0" applyFill="1" applyBorder="1" applyAlignment="1">
      <alignment horizontal="center"/>
    </xf>
    <xf numFmtId="0" fontId="5" fillId="0" borderId="0" xfId="52" applyFont="1">
      <alignment/>
      <protection/>
    </xf>
    <xf numFmtId="0" fontId="2" fillId="0" borderId="0" xfId="52">
      <alignment/>
      <protection/>
    </xf>
    <xf numFmtId="0" fontId="2" fillId="35" borderId="0" xfId="52" applyFill="1">
      <alignment/>
      <protection/>
    </xf>
    <xf numFmtId="0" fontId="2" fillId="0" borderId="0" xfId="52" applyFill="1">
      <alignment/>
      <protection/>
    </xf>
    <xf numFmtId="0" fontId="8" fillId="0" borderId="0" xfId="52" applyFont="1" applyFill="1" applyBorder="1" applyAlignment="1">
      <alignment horizontal="center"/>
      <protection/>
    </xf>
    <xf numFmtId="0" fontId="12" fillId="0" borderId="0" xfId="52" applyFont="1" applyFill="1" applyBorder="1" applyAlignment="1">
      <alignment horizontal="center"/>
      <protection/>
    </xf>
    <xf numFmtId="0" fontId="13" fillId="0" borderId="0" xfId="52" applyFont="1">
      <alignment/>
      <protection/>
    </xf>
    <xf numFmtId="0" fontId="13" fillId="0" borderId="0" xfId="52" applyFont="1" applyBorder="1">
      <alignment/>
      <protection/>
    </xf>
    <xf numFmtId="0" fontId="5" fillId="0" borderId="0" xfId="52" applyFont="1" applyAlignment="1">
      <alignment horizontal="left"/>
      <protection/>
    </xf>
    <xf numFmtId="0" fontId="8" fillId="0" borderId="0" xfId="52" applyFont="1">
      <alignment/>
      <protection/>
    </xf>
    <xf numFmtId="0" fontId="8" fillId="0" borderId="0" xfId="52" applyFont="1" applyAlignment="1">
      <alignment horizontal="right"/>
      <protection/>
    </xf>
    <xf numFmtId="0" fontId="8" fillId="0" borderId="0" xfId="52" applyFont="1" applyAlignment="1">
      <alignment horizontal="left"/>
      <protection/>
    </xf>
    <xf numFmtId="0" fontId="14" fillId="0" borderId="0" xfId="52" applyFont="1" applyAlignment="1">
      <alignment horizontal="left"/>
      <protection/>
    </xf>
    <xf numFmtId="0" fontId="15" fillId="0" borderId="0" xfId="52" applyFont="1" applyAlignment="1">
      <alignment vertical="center"/>
      <protection/>
    </xf>
    <xf numFmtId="0" fontId="16" fillId="36" borderId="10" xfId="52" applyFont="1" applyFill="1" applyBorder="1" applyAlignment="1">
      <alignment horizontal="center" vertical="center"/>
      <protection/>
    </xf>
    <xf numFmtId="0" fontId="15" fillId="0" borderId="10" xfId="52" applyFont="1" applyBorder="1" applyAlignment="1">
      <alignment horizontal="center" vertical="center"/>
      <protection/>
    </xf>
    <xf numFmtId="172" fontId="15" fillId="0" borderId="10" xfId="49" applyNumberFormat="1" applyFont="1" applyBorder="1" applyAlignment="1">
      <alignment horizontal="center" vertical="center"/>
    </xf>
    <xf numFmtId="0" fontId="15" fillId="0" borderId="11" xfId="52" applyFont="1" applyBorder="1" applyAlignment="1">
      <alignment horizontal="center" vertical="center"/>
      <protection/>
    </xf>
    <xf numFmtId="0" fontId="15" fillId="0" borderId="12" xfId="52" applyFont="1" applyBorder="1" applyAlignment="1">
      <alignment vertical="center"/>
      <protection/>
    </xf>
    <xf numFmtId="0" fontId="10" fillId="36" borderId="10" xfId="52" applyFont="1" applyFill="1" applyBorder="1" applyAlignment="1">
      <alignment horizontal="center" vertical="center"/>
      <protection/>
    </xf>
    <xf numFmtId="0" fontId="2" fillId="0" borderId="0" xfId="52" applyAlignment="1">
      <alignment vertical="center"/>
      <protection/>
    </xf>
    <xf numFmtId="0" fontId="13" fillId="0" borderId="0" xfId="52" applyFont="1" applyAlignment="1">
      <alignment vertical="center"/>
      <protection/>
    </xf>
    <xf numFmtId="0" fontId="13" fillId="0" borderId="0" xfId="52" applyFont="1" applyBorder="1" applyAlignment="1">
      <alignment horizontal="center" vertical="center"/>
      <protection/>
    </xf>
    <xf numFmtId="0" fontId="13" fillId="0" borderId="0" xfId="52" applyFont="1" applyBorder="1" applyAlignment="1">
      <alignment vertical="center"/>
      <protection/>
    </xf>
    <xf numFmtId="0" fontId="14" fillId="0" borderId="0" xfId="52" applyFont="1">
      <alignment/>
      <protection/>
    </xf>
    <xf numFmtId="0" fontId="12" fillId="0" borderId="0" xfId="52" applyFont="1">
      <alignment/>
      <protection/>
    </xf>
    <xf numFmtId="0" fontId="14" fillId="0" borderId="0" xfId="52" applyFont="1" applyAlignment="1">
      <alignment horizontal="center"/>
      <protection/>
    </xf>
    <xf numFmtId="0" fontId="15" fillId="0" borderId="0" xfId="52" applyFont="1">
      <alignment/>
      <protection/>
    </xf>
    <xf numFmtId="0" fontId="10" fillId="0" borderId="0" xfId="52" applyFont="1">
      <alignment/>
      <protection/>
    </xf>
    <xf numFmtId="0" fontId="17" fillId="0" borderId="0" xfId="52" applyFont="1" applyFill="1" applyBorder="1" applyAlignment="1">
      <alignment horizontal="left" vertical="center"/>
      <protection/>
    </xf>
    <xf numFmtId="0" fontId="8" fillId="36" borderId="0" xfId="52" applyFont="1" applyFill="1" applyBorder="1" applyAlignment="1">
      <alignment horizontal="left" vertical="center"/>
      <protection/>
    </xf>
    <xf numFmtId="0" fontId="8" fillId="36" borderId="0" xfId="52" applyFont="1" applyFill="1" applyBorder="1" applyAlignment="1">
      <alignment horizontal="center" vertical="center"/>
      <protection/>
    </xf>
    <xf numFmtId="172" fontId="15" fillId="36" borderId="10" xfId="49" applyNumberFormat="1" applyFont="1" applyFill="1" applyBorder="1" applyAlignment="1">
      <alignment horizontal="center" vertical="center"/>
    </xf>
    <xf numFmtId="0" fontId="13" fillId="0" borderId="0" xfId="52" applyFont="1" applyBorder="1" applyAlignment="1">
      <alignment horizontal="left" vertical="center"/>
      <protection/>
    </xf>
    <xf numFmtId="0" fontId="15" fillId="0" borderId="0" xfId="52" applyFont="1" applyAlignment="1">
      <alignment horizontal="right"/>
      <protection/>
    </xf>
    <xf numFmtId="0" fontId="16" fillId="0" borderId="0" xfId="52" applyNumberFormat="1" applyFont="1" applyAlignment="1">
      <alignment horizontal="right"/>
      <protection/>
    </xf>
    <xf numFmtId="0" fontId="20" fillId="0" borderId="0" xfId="0" applyFont="1" applyAlignment="1">
      <alignment/>
    </xf>
    <xf numFmtId="0" fontId="21" fillId="0" borderId="0" xfId="52" applyFont="1" applyAlignment="1">
      <alignment vertical="top"/>
      <protection/>
    </xf>
    <xf numFmtId="0" fontId="22" fillId="0" borderId="0" xfId="52" applyFont="1">
      <alignment/>
      <protection/>
    </xf>
    <xf numFmtId="0" fontId="6" fillId="0" borderId="0" xfId="52" applyFont="1">
      <alignment/>
      <protection/>
    </xf>
    <xf numFmtId="0" fontId="0" fillId="0" borderId="10" xfId="0" applyBorder="1" applyAlignment="1" applyProtection="1">
      <alignment/>
      <protection locked="0"/>
    </xf>
    <xf numFmtId="0" fontId="6" fillId="0" borderId="0" xfId="52" applyFont="1" applyAlignment="1">
      <alignment horizontal="center"/>
      <protection/>
    </xf>
    <xf numFmtId="0" fontId="10" fillId="35" borderId="0" xfId="52" applyFont="1" applyFill="1" applyBorder="1" applyAlignment="1">
      <alignment horizontal="center"/>
      <protection/>
    </xf>
    <xf numFmtId="0" fontId="92" fillId="37" borderId="10" xfId="0" applyFont="1" applyFill="1" applyBorder="1" applyAlignment="1">
      <alignment/>
    </xf>
    <xf numFmtId="0" fontId="0" fillId="37" borderId="10" xfId="0" applyFill="1" applyBorder="1" applyAlignment="1">
      <alignment/>
    </xf>
    <xf numFmtId="0" fontId="0" fillId="0" borderId="10" xfId="0" applyFill="1" applyBorder="1" applyAlignment="1">
      <alignment/>
    </xf>
    <xf numFmtId="1" fontId="0" fillId="34" borderId="10" xfId="0" applyNumberFormat="1" applyFill="1" applyBorder="1" applyAlignment="1">
      <alignment/>
    </xf>
    <xf numFmtId="0" fontId="4" fillId="0" borderId="10" xfId="52" applyFont="1" applyBorder="1" applyAlignment="1" applyProtection="1">
      <alignment horizontal="center"/>
      <protection/>
    </xf>
    <xf numFmtId="1" fontId="8" fillId="0" borderId="0" xfId="52" applyNumberFormat="1" applyFont="1" applyProtection="1">
      <alignment/>
      <protection/>
    </xf>
    <xf numFmtId="0" fontId="0" fillId="34" borderId="10" xfId="0" applyFill="1" applyBorder="1" applyAlignment="1">
      <alignment/>
    </xf>
    <xf numFmtId="0" fontId="13" fillId="0" borderId="10" xfId="52" applyFont="1" applyBorder="1">
      <alignment/>
      <protection/>
    </xf>
    <xf numFmtId="0" fontId="5" fillId="0" borderId="10" xfId="52" applyFont="1" applyBorder="1">
      <alignment/>
      <protection/>
    </xf>
    <xf numFmtId="1" fontId="0" fillId="0" borderId="0" xfId="0" applyNumberFormat="1" applyAlignment="1">
      <alignment/>
    </xf>
    <xf numFmtId="0" fontId="4" fillId="0" borderId="10" xfId="52" applyFont="1" applyBorder="1">
      <alignment/>
      <protection/>
    </xf>
    <xf numFmtId="0" fontId="4" fillId="0" borderId="10" xfId="52" applyFont="1" applyFill="1" applyBorder="1">
      <alignment/>
      <protection/>
    </xf>
    <xf numFmtId="170" fontId="0" fillId="0" borderId="10" xfId="0" applyNumberFormat="1" applyBorder="1" applyAlignment="1">
      <alignment/>
    </xf>
    <xf numFmtId="0" fontId="90" fillId="0" borderId="0" xfId="0" applyFont="1" applyAlignment="1">
      <alignment/>
    </xf>
    <xf numFmtId="0" fontId="94" fillId="0" borderId="0" xfId="0" applyFont="1" applyAlignment="1">
      <alignment/>
    </xf>
    <xf numFmtId="0" fontId="95" fillId="0" borderId="0" xfId="0" applyFont="1" applyAlignment="1">
      <alignment/>
    </xf>
    <xf numFmtId="0" fontId="96" fillId="0" borderId="0" xfId="0" applyFont="1" applyAlignment="1">
      <alignment/>
    </xf>
    <xf numFmtId="0" fontId="0" fillId="0" borderId="13" xfId="0" applyFill="1" applyBorder="1" applyAlignment="1">
      <alignment/>
    </xf>
    <xf numFmtId="0" fontId="4" fillId="33" borderId="10" xfId="52" applyFont="1" applyFill="1" applyBorder="1" applyAlignment="1">
      <alignment horizontal="center" vertical="center" wrapText="1"/>
      <protection/>
    </xf>
    <xf numFmtId="0" fontId="0" fillId="0" borderId="10" xfId="0" applyBorder="1" applyAlignment="1" applyProtection="1">
      <alignment/>
      <protection/>
    </xf>
    <xf numFmtId="0" fontId="0" fillId="0" borderId="14" xfId="0" applyBorder="1" applyAlignment="1" applyProtection="1">
      <alignment/>
      <protection locked="0"/>
    </xf>
    <xf numFmtId="0" fontId="0" fillId="0" borderId="15" xfId="0" applyBorder="1" applyAlignment="1" applyProtection="1">
      <alignment/>
      <protection/>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23" fillId="0" borderId="0" xfId="52" applyFont="1">
      <alignment/>
      <protection/>
    </xf>
    <xf numFmtId="0" fontId="24" fillId="0" borderId="0" xfId="52" applyFont="1">
      <alignment/>
      <protection/>
    </xf>
    <xf numFmtId="0" fontId="26" fillId="0" borderId="0" xfId="52" applyFont="1">
      <alignment/>
      <protection/>
    </xf>
    <xf numFmtId="0" fontId="97" fillId="0" borderId="0" xfId="0" applyFont="1" applyAlignment="1">
      <alignment/>
    </xf>
    <xf numFmtId="0" fontId="27" fillId="0" borderId="0" xfId="52" applyFont="1" applyAlignment="1">
      <alignment horizontal="center"/>
      <protection/>
    </xf>
    <xf numFmtId="0" fontId="25" fillId="0" borderId="0" xfId="52" applyFont="1" applyAlignment="1">
      <alignment horizontal="center" vertical="center" wrapText="1"/>
      <protection/>
    </xf>
    <xf numFmtId="0" fontId="25" fillId="0" borderId="0" xfId="52" applyFont="1" applyAlignment="1">
      <alignment horizontal="center" vertical="center"/>
      <protection/>
    </xf>
    <xf numFmtId="0" fontId="28" fillId="0" borderId="0" xfId="52" applyFont="1" applyAlignment="1">
      <alignment horizontal="center"/>
      <protection/>
    </xf>
    <xf numFmtId="0" fontId="30" fillId="0" borderId="0" xfId="52" applyFont="1">
      <alignment/>
      <protection/>
    </xf>
    <xf numFmtId="0" fontId="98" fillId="0" borderId="0" xfId="0" applyFont="1" applyAlignment="1">
      <alignment/>
    </xf>
    <xf numFmtId="0" fontId="97" fillId="0" borderId="0" xfId="0" applyFont="1" applyBorder="1" applyAlignment="1">
      <alignment/>
    </xf>
    <xf numFmtId="0" fontId="99" fillId="0" borderId="0" xfId="0" applyFont="1" applyAlignment="1">
      <alignment/>
    </xf>
    <xf numFmtId="0" fontId="99" fillId="0" borderId="11" xfId="0" applyFont="1" applyBorder="1" applyAlignment="1">
      <alignment/>
    </xf>
    <xf numFmtId="0" fontId="99" fillId="0" borderId="12" xfId="0" applyFont="1" applyBorder="1" applyAlignment="1">
      <alignment/>
    </xf>
    <xf numFmtId="0" fontId="100" fillId="0" borderId="0" xfId="0" applyFont="1" applyBorder="1" applyAlignment="1">
      <alignment/>
    </xf>
    <xf numFmtId="0" fontId="100" fillId="0" borderId="21" xfId="0" applyFont="1" applyBorder="1" applyAlignment="1">
      <alignment/>
    </xf>
    <xf numFmtId="2" fontId="99" fillId="0" borderId="0" xfId="0" applyNumberFormat="1" applyFont="1" applyAlignment="1">
      <alignment/>
    </xf>
    <xf numFmtId="0" fontId="99" fillId="0" borderId="0" xfId="0" applyFont="1" applyAlignment="1">
      <alignment horizontal="left" indent="1"/>
    </xf>
    <xf numFmtId="0" fontId="99" fillId="0" borderId="0" xfId="0" applyFont="1" applyAlignment="1">
      <alignment/>
    </xf>
    <xf numFmtId="49" fontId="99" fillId="0" borderId="0" xfId="0" applyNumberFormat="1" applyFont="1" applyAlignment="1">
      <alignment/>
    </xf>
    <xf numFmtId="49" fontId="99" fillId="0" borderId="0" xfId="0" applyNumberFormat="1" applyFont="1" applyAlignment="1">
      <alignment horizontal="left" indent="1"/>
    </xf>
    <xf numFmtId="49" fontId="99" fillId="0" borderId="0" xfId="0" applyNumberFormat="1" applyFont="1" applyAlignment="1">
      <alignment/>
    </xf>
    <xf numFmtId="0" fontId="101" fillId="0" borderId="0" xfId="0" applyFont="1" applyAlignment="1">
      <alignment wrapText="1"/>
    </xf>
    <xf numFmtId="0" fontId="101" fillId="0" borderId="0" xfId="0" applyFont="1" applyAlignment="1">
      <alignment/>
    </xf>
    <xf numFmtId="0" fontId="33" fillId="0" borderId="0" xfId="52" applyFont="1">
      <alignment/>
      <protection/>
    </xf>
    <xf numFmtId="0" fontId="34" fillId="0" borderId="22" xfId="52" applyFont="1" applyBorder="1">
      <alignment/>
      <protection/>
    </xf>
    <xf numFmtId="0" fontId="102" fillId="0" borderId="0" xfId="0" applyFont="1" applyBorder="1" applyAlignment="1">
      <alignment/>
    </xf>
    <xf numFmtId="0" fontId="34" fillId="0" borderId="0" xfId="52" applyFont="1" applyBorder="1">
      <alignment/>
      <protection/>
    </xf>
    <xf numFmtId="0" fontId="34" fillId="0" borderId="21" xfId="52" applyFont="1" applyBorder="1" applyAlignment="1">
      <alignment horizontal="left"/>
      <protection/>
    </xf>
    <xf numFmtId="0" fontId="30" fillId="0" borderId="21" xfId="52" applyFont="1" applyBorder="1" applyAlignment="1">
      <alignment horizontal="left"/>
      <protection/>
    </xf>
    <xf numFmtId="0" fontId="103" fillId="0" borderId="23" xfId="0" applyFont="1" applyBorder="1" applyAlignment="1">
      <alignment/>
    </xf>
    <xf numFmtId="0" fontId="103" fillId="0" borderId="11" xfId="0" applyFont="1" applyBorder="1" applyAlignment="1">
      <alignment/>
    </xf>
    <xf numFmtId="173" fontId="103" fillId="0" borderId="12" xfId="0" applyNumberFormat="1" applyFont="1" applyBorder="1" applyAlignment="1">
      <alignment/>
    </xf>
    <xf numFmtId="0" fontId="103" fillId="0" borderId="22" xfId="0" applyFont="1" applyBorder="1" applyAlignment="1">
      <alignment/>
    </xf>
    <xf numFmtId="0" fontId="103" fillId="0" borderId="0" xfId="0" applyFont="1" applyBorder="1" applyAlignment="1">
      <alignment/>
    </xf>
    <xf numFmtId="173" fontId="103" fillId="0" borderId="21" xfId="0" applyNumberFormat="1" applyFont="1" applyBorder="1" applyAlignment="1">
      <alignment/>
    </xf>
    <xf numFmtId="0" fontId="104" fillId="0" borderId="22" xfId="0" applyFont="1" applyBorder="1" applyAlignment="1">
      <alignment/>
    </xf>
    <xf numFmtId="0" fontId="104" fillId="0" borderId="0" xfId="0" applyFont="1" applyAlignment="1">
      <alignment/>
    </xf>
    <xf numFmtId="0" fontId="104" fillId="0" borderId="0" xfId="0" applyFont="1" applyBorder="1" applyAlignment="1">
      <alignment/>
    </xf>
    <xf numFmtId="173" fontId="104" fillId="0" borderId="21" xfId="0" applyNumberFormat="1" applyFont="1" applyBorder="1" applyAlignment="1">
      <alignment/>
    </xf>
    <xf numFmtId="0" fontId="105" fillId="0" borderId="22" xfId="0" applyFont="1" applyBorder="1" applyAlignment="1">
      <alignment/>
    </xf>
    <xf numFmtId="0" fontId="104" fillId="0" borderId="21" xfId="0" applyFont="1" applyBorder="1" applyAlignment="1">
      <alignment/>
    </xf>
    <xf numFmtId="0" fontId="103" fillId="0" borderId="21" xfId="0" applyFont="1" applyBorder="1" applyAlignment="1">
      <alignment/>
    </xf>
    <xf numFmtId="0" fontId="106" fillId="0" borderId="24" xfId="0" applyFont="1" applyBorder="1" applyAlignment="1">
      <alignment/>
    </xf>
    <xf numFmtId="0" fontId="106" fillId="0" borderId="25" xfId="0" applyFont="1" applyBorder="1" applyAlignment="1">
      <alignment/>
    </xf>
    <xf numFmtId="173" fontId="106" fillId="0" borderId="26" xfId="0" applyNumberFormat="1" applyFont="1" applyBorder="1" applyAlignment="1">
      <alignment/>
    </xf>
    <xf numFmtId="0" fontId="103" fillId="0" borderId="0" xfId="0" applyFont="1" applyAlignment="1">
      <alignment/>
    </xf>
    <xf numFmtId="0" fontId="107" fillId="0" borderId="0" xfId="0" applyFont="1" applyAlignment="1">
      <alignment wrapText="1"/>
    </xf>
    <xf numFmtId="0" fontId="107" fillId="0" borderId="0" xfId="0" applyFont="1" applyAlignment="1">
      <alignment/>
    </xf>
    <xf numFmtId="0" fontId="97" fillId="0" borderId="0" xfId="0" applyFont="1" applyAlignment="1">
      <alignment horizontal="left"/>
    </xf>
    <xf numFmtId="0" fontId="0" fillId="0" borderId="11" xfId="0" applyBorder="1" applyAlignment="1">
      <alignment/>
    </xf>
    <xf numFmtId="0" fontId="100" fillId="0" borderId="23" xfId="0" applyFont="1" applyBorder="1" applyAlignment="1">
      <alignment/>
    </xf>
    <xf numFmtId="0" fontId="100" fillId="0" borderId="24" xfId="0" applyFont="1" applyBorder="1" applyAlignment="1">
      <alignment/>
    </xf>
    <xf numFmtId="0" fontId="99" fillId="0" borderId="0" xfId="0" applyFont="1" applyBorder="1" applyAlignment="1">
      <alignment/>
    </xf>
    <xf numFmtId="0" fontId="99" fillId="0" borderId="21" xfId="0" applyFont="1" applyBorder="1" applyAlignment="1">
      <alignment/>
    </xf>
    <xf numFmtId="0" fontId="100" fillId="0" borderId="22" xfId="0" applyFont="1" applyBorder="1" applyAlignment="1">
      <alignment/>
    </xf>
    <xf numFmtId="0" fontId="100" fillId="0" borderId="0" xfId="0" applyFont="1" applyBorder="1" applyAlignment="1">
      <alignment horizontal="left"/>
    </xf>
    <xf numFmtId="0" fontId="90" fillId="0" borderId="0" xfId="0" applyFont="1" applyBorder="1" applyAlignment="1">
      <alignment horizontal="left"/>
    </xf>
    <xf numFmtId="0" fontId="0" fillId="0" borderId="0" xfId="0" applyBorder="1" applyAlignment="1">
      <alignment/>
    </xf>
    <xf numFmtId="2" fontId="100" fillId="0" borderId="22" xfId="0" applyNumberFormat="1" applyFont="1" applyBorder="1" applyAlignment="1">
      <alignment horizontal="left"/>
    </xf>
    <xf numFmtId="0" fontId="4" fillId="33" borderId="27" xfId="52" applyFont="1" applyFill="1" applyBorder="1" applyAlignment="1">
      <alignment horizontal="center" vertical="center" wrapText="1"/>
      <protection/>
    </xf>
    <xf numFmtId="0" fontId="4" fillId="33" borderId="28" xfId="52" applyFont="1" applyFill="1" applyBorder="1" applyAlignment="1">
      <alignment horizontal="center" vertical="center" wrapText="1"/>
      <protection/>
    </xf>
    <xf numFmtId="0" fontId="4" fillId="33" borderId="29" xfId="52" applyFont="1" applyFill="1" applyBorder="1" applyAlignment="1">
      <alignment horizontal="center" vertical="center" wrapText="1"/>
      <protection/>
    </xf>
    <xf numFmtId="0" fontId="4" fillId="33" borderId="15" xfId="52" applyFont="1" applyFill="1" applyBorder="1" applyAlignment="1">
      <alignment horizontal="center" vertical="center" wrapText="1"/>
      <protection/>
    </xf>
    <xf numFmtId="0" fontId="4" fillId="33" borderId="14" xfId="52" applyFont="1" applyFill="1" applyBorder="1" applyAlignment="1">
      <alignment horizontal="center" vertical="center" wrapText="1"/>
      <protection/>
    </xf>
    <xf numFmtId="0" fontId="0" fillId="0" borderId="0" xfId="0" applyFill="1" applyBorder="1" applyAlignment="1">
      <alignment/>
    </xf>
    <xf numFmtId="0" fontId="108" fillId="0" borderId="0" xfId="0" applyFont="1" applyBorder="1" applyAlignment="1">
      <alignment/>
    </xf>
    <xf numFmtId="0" fontId="100" fillId="0" borderId="25" xfId="0" applyFont="1" applyBorder="1" applyAlignment="1">
      <alignment horizontal="left"/>
    </xf>
    <xf numFmtId="0" fontId="100" fillId="0" borderId="26" xfId="0" applyFont="1" applyBorder="1" applyAlignment="1">
      <alignment horizontal="left"/>
    </xf>
    <xf numFmtId="0" fontId="90" fillId="38" borderId="0" xfId="0" applyFont="1" applyFill="1" applyBorder="1" applyAlignment="1">
      <alignment horizontal="center"/>
    </xf>
    <xf numFmtId="0" fontId="0" fillId="0" borderId="10" xfId="0" applyBorder="1" applyAlignment="1">
      <alignment horizontal="left" wrapText="1"/>
    </xf>
    <xf numFmtId="0" fontId="0" fillId="38" borderId="10" xfId="0" applyFill="1" applyBorder="1" applyAlignment="1">
      <alignment wrapText="1"/>
    </xf>
    <xf numFmtId="0" fontId="0" fillId="0" borderId="0" xfId="0" applyAlignment="1">
      <alignment horizontal="left"/>
    </xf>
    <xf numFmtId="0" fontId="103" fillId="0" borderId="24" xfId="0" applyFont="1" applyBorder="1" applyAlignment="1">
      <alignment/>
    </xf>
    <xf numFmtId="0" fontId="103" fillId="0" borderId="25" xfId="0" applyFont="1" applyBorder="1" applyAlignment="1">
      <alignment/>
    </xf>
    <xf numFmtId="0" fontId="103" fillId="0" borderId="26" xfId="0" applyFont="1" applyBorder="1" applyAlignment="1">
      <alignment horizontal="left"/>
    </xf>
    <xf numFmtId="0" fontId="90" fillId="38" borderId="10" xfId="0" applyFont="1" applyFill="1" applyBorder="1" applyAlignment="1">
      <alignment wrapText="1"/>
    </xf>
    <xf numFmtId="14" fontId="0" fillId="38" borderId="10" xfId="0" applyNumberFormat="1" applyFill="1" applyBorder="1" applyAlignment="1">
      <alignment wrapText="1"/>
    </xf>
    <xf numFmtId="0" fontId="3" fillId="0" borderId="30" xfId="52" applyFont="1" applyBorder="1" applyAlignment="1">
      <alignment horizontal="center"/>
      <protection/>
    </xf>
    <xf numFmtId="0" fontId="3" fillId="0" borderId="31" xfId="52" applyFont="1" applyBorder="1" applyAlignment="1">
      <alignment horizontal="center"/>
      <protection/>
    </xf>
    <xf numFmtId="0" fontId="92" fillId="0" borderId="10" xfId="0" applyFont="1" applyBorder="1" applyAlignment="1">
      <alignment horizontal="center"/>
    </xf>
    <xf numFmtId="0" fontId="0" fillId="34" borderId="14" xfId="0" applyFill="1" applyBorder="1" applyAlignment="1" applyProtection="1">
      <alignment horizontal="center"/>
      <protection/>
    </xf>
    <xf numFmtId="0" fontId="0" fillId="34" borderId="15" xfId="0" applyFill="1" applyBorder="1" applyAlignment="1" applyProtection="1">
      <alignment horizontal="center"/>
      <protection/>
    </xf>
    <xf numFmtId="173" fontId="0" fillId="0" borderId="10" xfId="0" applyNumberFormat="1" applyBorder="1" applyAlignment="1">
      <alignment horizontal="center"/>
    </xf>
    <xf numFmtId="0" fontId="109" fillId="0" borderId="0" xfId="0" applyFont="1" applyAlignment="1">
      <alignment horizontal="left" wrapText="1"/>
    </xf>
    <xf numFmtId="0" fontId="110" fillId="0" borderId="0" xfId="0" applyFont="1" applyBorder="1" applyAlignment="1">
      <alignment horizontal="center"/>
    </xf>
    <xf numFmtId="0" fontId="108" fillId="0" borderId="0" xfId="0" applyFont="1" applyBorder="1" applyAlignment="1">
      <alignment horizontal="center"/>
    </xf>
    <xf numFmtId="174" fontId="33" fillId="0" borderId="0" xfId="52" applyNumberFormat="1" applyFont="1" applyAlignment="1">
      <alignment horizontal="center"/>
      <protection/>
    </xf>
    <xf numFmtId="0" fontId="29" fillId="0" borderId="0" xfId="52" applyFont="1" applyAlignment="1">
      <alignment horizontal="center" vertical="center" wrapText="1"/>
      <protection/>
    </xf>
    <xf numFmtId="0" fontId="29" fillId="0" borderId="0" xfId="52" applyFont="1" applyAlignment="1">
      <alignment horizontal="center" vertical="center"/>
      <protection/>
    </xf>
    <xf numFmtId="0" fontId="28" fillId="0" borderId="0" xfId="52" applyFont="1" applyAlignment="1">
      <alignment horizontal="center"/>
      <protection/>
    </xf>
    <xf numFmtId="0" fontId="31" fillId="0" borderId="0" xfId="52" applyFont="1" applyAlignment="1">
      <alignment horizontal="center"/>
      <protection/>
    </xf>
    <xf numFmtId="174" fontId="24" fillId="0" borderId="0" xfId="52" applyNumberFormat="1" applyFont="1" applyAlignment="1">
      <alignment horizontal="center"/>
      <protection/>
    </xf>
    <xf numFmtId="0" fontId="111" fillId="0" borderId="0" xfId="0" applyFont="1" applyAlignment="1">
      <alignment horizontal="center" wrapText="1"/>
    </xf>
    <xf numFmtId="0" fontId="34" fillId="0" borderId="14" xfId="52" applyFont="1" applyBorder="1" applyAlignment="1">
      <alignment horizontal="center"/>
      <protection/>
    </xf>
    <xf numFmtId="0" fontId="34" fillId="0" borderId="32" xfId="52" applyFont="1" applyBorder="1" applyAlignment="1">
      <alignment horizontal="center"/>
      <protection/>
    </xf>
    <xf numFmtId="0" fontId="34" fillId="0" borderId="15" xfId="52" applyFont="1" applyBorder="1" applyAlignment="1">
      <alignment horizontal="center"/>
      <protection/>
    </xf>
    <xf numFmtId="0" fontId="30" fillId="0" borderId="22" xfId="52" applyFont="1" applyBorder="1" applyAlignment="1">
      <alignment horizontal="left"/>
      <protection/>
    </xf>
    <xf numFmtId="0" fontId="30" fillId="0" borderId="0" xfId="52" applyFont="1" applyBorder="1" applyAlignment="1">
      <alignment horizontal="left"/>
      <protection/>
    </xf>
    <xf numFmtId="0" fontId="34" fillId="0" borderId="22" xfId="52" applyFont="1" applyBorder="1" applyAlignment="1">
      <alignment/>
      <protection/>
    </xf>
    <xf numFmtId="0" fontId="34" fillId="0" borderId="0" xfId="52" applyFont="1" applyBorder="1" applyAlignment="1">
      <alignment/>
      <protection/>
    </xf>
    <xf numFmtId="0" fontId="30" fillId="0" borderId="22" xfId="52" applyFont="1" applyBorder="1" applyAlignment="1">
      <alignment/>
      <protection/>
    </xf>
    <xf numFmtId="0" fontId="30" fillId="0" borderId="0" xfId="52" applyFont="1" applyBorder="1" applyAlignment="1">
      <alignment/>
      <protection/>
    </xf>
    <xf numFmtId="0" fontId="104" fillId="0" borderId="14" xfId="0" applyFont="1" applyBorder="1" applyAlignment="1">
      <alignment horizontal="center"/>
    </xf>
    <xf numFmtId="0" fontId="104" fillId="0" borderId="32" xfId="0" applyFont="1" applyBorder="1" applyAlignment="1">
      <alignment horizontal="center"/>
    </xf>
    <xf numFmtId="0" fontId="104" fillId="0" borderId="15" xfId="0" applyFont="1" applyBorder="1" applyAlignment="1">
      <alignment horizontal="center"/>
    </xf>
    <xf numFmtId="0" fontId="18" fillId="0" borderId="0" xfId="52" applyFont="1" applyAlignment="1">
      <alignment horizontal="justify" vertical="top" wrapText="1"/>
      <protection/>
    </xf>
    <xf numFmtId="0" fontId="5" fillId="0" borderId="0" xfId="52" applyFont="1" applyAlignment="1">
      <alignment horizontal="center"/>
      <protection/>
    </xf>
    <xf numFmtId="0" fontId="16" fillId="0" borderId="14" xfId="52" applyFont="1" applyBorder="1" applyAlignment="1">
      <alignment horizontal="left" vertical="center"/>
      <protection/>
    </xf>
    <xf numFmtId="0" fontId="16" fillId="0" borderId="32" xfId="52" applyFont="1" applyBorder="1" applyAlignment="1">
      <alignment horizontal="left" vertical="center"/>
      <protection/>
    </xf>
    <xf numFmtId="0" fontId="16" fillId="0" borderId="15" xfId="52" applyFont="1" applyBorder="1" applyAlignment="1">
      <alignment horizontal="left" vertical="center"/>
      <protection/>
    </xf>
    <xf numFmtId="0" fontId="16" fillId="36" borderId="14" xfId="52" applyFont="1" applyFill="1" applyBorder="1" applyAlignment="1">
      <alignment horizontal="left" vertical="center"/>
      <protection/>
    </xf>
    <xf numFmtId="0" fontId="16" fillId="36" borderId="32" xfId="52" applyFont="1" applyFill="1" applyBorder="1" applyAlignment="1">
      <alignment horizontal="left" vertical="center"/>
      <protection/>
    </xf>
    <xf numFmtId="0" fontId="16" fillId="36" borderId="15" xfId="52" applyFont="1" applyFill="1" applyBorder="1" applyAlignment="1">
      <alignment horizontal="left" vertical="center"/>
      <protection/>
    </xf>
    <xf numFmtId="0" fontId="16" fillId="36" borderId="14" xfId="52" applyFont="1" applyFill="1" applyBorder="1" applyAlignment="1">
      <alignment horizontal="center" vertical="center"/>
      <protection/>
    </xf>
    <xf numFmtId="0" fontId="16" fillId="36" borderId="15" xfId="52" applyFont="1" applyFill="1" applyBorder="1" applyAlignment="1">
      <alignment horizontal="center" vertical="center"/>
      <protection/>
    </xf>
    <xf numFmtId="0" fontId="15" fillId="0" borderId="14" xfId="52" applyFont="1" applyBorder="1" applyAlignment="1">
      <alignment horizontal="center" vertical="center"/>
      <protection/>
    </xf>
    <xf numFmtId="0" fontId="15" fillId="0" borderId="15" xfId="52" applyFont="1" applyBorder="1" applyAlignment="1">
      <alignment horizontal="center" vertical="center"/>
      <protection/>
    </xf>
    <xf numFmtId="172" fontId="15" fillId="0" borderId="14" xfId="49" applyNumberFormat="1" applyFont="1" applyBorder="1" applyAlignment="1">
      <alignment horizontal="center" vertical="center"/>
    </xf>
    <xf numFmtId="172" fontId="15" fillId="0" borderId="15" xfId="49" applyNumberFormat="1" applyFont="1" applyBorder="1" applyAlignment="1">
      <alignment horizontal="center" vertical="center"/>
    </xf>
    <xf numFmtId="0" fontId="6" fillId="0" borderId="0" xfId="52" applyFont="1" applyAlignment="1">
      <alignment horizontal="center"/>
      <protection/>
    </xf>
    <xf numFmtId="0" fontId="7" fillId="35" borderId="0" xfId="52" applyFont="1" applyFill="1" applyBorder="1" applyAlignment="1">
      <alignment horizontal="center"/>
      <protection/>
    </xf>
    <xf numFmtId="0" fontId="9" fillId="35" borderId="0" xfId="52" applyFont="1" applyFill="1" applyBorder="1" applyAlignment="1">
      <alignment horizontal="center"/>
      <protection/>
    </xf>
    <xf numFmtId="0" fontId="10" fillId="35" borderId="0" xfId="52" applyFont="1" applyFill="1" applyBorder="1" applyAlignment="1">
      <alignment horizontal="center"/>
      <protection/>
    </xf>
    <xf numFmtId="0" fontId="5" fillId="0" borderId="14" xfId="52" applyFont="1" applyBorder="1" applyAlignment="1">
      <alignment horizontal="center"/>
      <protection/>
    </xf>
    <xf numFmtId="0" fontId="5" fillId="0" borderId="32" xfId="52" applyFont="1" applyBorder="1" applyAlignment="1">
      <alignment horizontal="center"/>
      <protection/>
    </xf>
    <xf numFmtId="0" fontId="5" fillId="0" borderId="15" xfId="52" applyFont="1" applyBorder="1" applyAlignment="1">
      <alignment horizontal="center"/>
      <protection/>
    </xf>
    <xf numFmtId="0" fontId="80" fillId="0" borderId="10" xfId="45" applyBorder="1" applyAlignment="1">
      <alignment horizontal="center"/>
    </xf>
    <xf numFmtId="0" fontId="0" fillId="0" borderId="10" xfId="0" applyBorder="1" applyAlignment="1">
      <alignment horizontal="center"/>
    </xf>
    <xf numFmtId="0" fontId="99" fillId="0" borderId="0" xfId="0" applyFont="1" applyAlignment="1">
      <alignment horizontal="left" indent="1"/>
    </xf>
    <xf numFmtId="0" fontId="112" fillId="0" borderId="0" xfId="0" applyFont="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3">
    <dxf>
      <font>
        <color rgb="FF006100"/>
      </font>
      <fill>
        <patternFill>
          <bgColor rgb="FFC6EFCE"/>
        </patternFill>
      </fill>
    </dxf>
    <dxf>
      <fill>
        <patternFill>
          <bgColor rgb="FFFF0000"/>
        </patternFill>
      </fill>
    </dxf>
    <dxf>
      <fill>
        <patternFill>
          <bgColor theme="9" tint="0.7999799847602844"/>
        </patternFill>
      </fill>
    </dxf>
    <dxf>
      <font>
        <b val="0"/>
        <i val="0"/>
      </font>
      <fill>
        <patternFill>
          <bgColor theme="9" tint="0.5999600291252136"/>
        </patternFill>
      </fill>
    </dxf>
    <dxf>
      <font>
        <color theme="5"/>
      </font>
      <fill>
        <patternFill>
          <bgColor theme="5" tint="0.3999499976634979"/>
        </patternFill>
      </fill>
    </dxf>
    <dxf>
      <font>
        <color rgb="FF9C0006"/>
      </font>
      <fill>
        <patternFill>
          <bgColor rgb="FFFFC7CE"/>
        </patternFill>
      </fill>
    </dxf>
    <dxf>
      <fill>
        <patternFill>
          <bgColor rgb="FF92D050"/>
        </patternFill>
      </fill>
    </dxf>
    <dxf>
      <fill>
        <patternFill>
          <bgColor rgb="FFFF0000"/>
        </patternFill>
      </fill>
    </dxf>
    <dxf>
      <fill>
        <patternFill>
          <bgColor rgb="FFFF0000"/>
        </patternFill>
      </fill>
    </dxf>
    <dxf>
      <font>
        <color rgb="FF9C0006"/>
      </font>
      <fill>
        <patternFill>
          <bgColor rgb="FFFFC7CE"/>
        </patternFill>
      </fill>
      <border/>
    </dxf>
    <dxf>
      <font>
        <color theme="5"/>
      </font>
      <fill>
        <patternFill>
          <bgColor theme="5" tint="0.3999499976634979"/>
        </patternFill>
      </fill>
      <border/>
    </dxf>
    <dxf>
      <font>
        <b val="0"/>
        <i val="0"/>
      </font>
      <fill>
        <patternFill>
          <bgColor theme="9" tint="0.5999600291252136"/>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190500</xdr:colOff>
      <xdr:row>0</xdr:row>
      <xdr:rowOff>76200</xdr:rowOff>
    </xdr:from>
    <xdr:to>
      <xdr:col>6</xdr:col>
      <xdr:colOff>914400</xdr:colOff>
      <xdr:row>4</xdr:row>
      <xdr:rowOff>171450</xdr:rowOff>
    </xdr:to>
    <xdr:pic>
      <xdr:nvPicPr>
        <xdr:cNvPr id="1" name="Picture 2"/>
        <xdr:cNvPicPr preferRelativeResize="1">
          <a:picLocks noChangeAspect="1"/>
        </xdr:cNvPicPr>
      </xdr:nvPicPr>
      <xdr:blipFill>
        <a:blip r:embed="rId1"/>
        <a:stretch>
          <a:fillRect/>
        </a:stretch>
      </xdr:blipFill>
      <xdr:spPr>
        <a:xfrm>
          <a:off x="361950" y="76200"/>
          <a:ext cx="2066925" cy="857250"/>
        </a:xfrm>
        <a:prstGeom prst="rect">
          <a:avLst/>
        </a:prstGeom>
        <a:noFill/>
        <a:ln w="1" cmpd="sng">
          <a:noFill/>
        </a:ln>
      </xdr:spPr>
    </xdr:pic>
    <xdr:clientData/>
  </xdr:twoCellAnchor>
  <xdr:twoCellAnchor>
    <xdr:from>
      <xdr:col>16</xdr:col>
      <xdr:colOff>0</xdr:colOff>
      <xdr:row>20</xdr:row>
      <xdr:rowOff>123825</xdr:rowOff>
    </xdr:from>
    <xdr:to>
      <xdr:col>19</xdr:col>
      <xdr:colOff>38100</xdr:colOff>
      <xdr:row>22</xdr:row>
      <xdr:rowOff>76200</xdr:rowOff>
    </xdr:to>
    <xdr:sp macro="[0]!cleartable">
      <xdr:nvSpPr>
        <xdr:cNvPr id="2" name="Rectangle 2"/>
        <xdr:cNvSpPr>
          <a:spLocks/>
        </xdr:cNvSpPr>
      </xdr:nvSpPr>
      <xdr:spPr>
        <a:xfrm>
          <a:off x="3657600" y="3209925"/>
          <a:ext cx="2914650" cy="333375"/>
        </a:xfrm>
        <a:prstGeom prst="rect">
          <a:avLst/>
        </a:prstGeom>
        <a:solidFill>
          <a:srgbClr val="BFBFBF"/>
        </a:solidFill>
        <a:ln w="25400" cmpd="sng">
          <a:solidFill>
            <a:srgbClr val="7F7F7F"/>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Effacer</a:t>
          </a:r>
          <a:r>
            <a:rPr lang="en-US" cap="none" sz="1100" b="0" i="0" u="none" baseline="0">
              <a:solidFill>
                <a:srgbClr val="FFFFFF"/>
              </a:solidFill>
              <a:latin typeface="Calibri"/>
              <a:ea typeface="Calibri"/>
              <a:cs typeface="Calibri"/>
            </a:rPr>
            <a:t> les données.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781050</xdr:rowOff>
    </xdr:from>
    <xdr:to>
      <xdr:col>3</xdr:col>
      <xdr:colOff>990600</xdr:colOff>
      <xdr:row>2</xdr:row>
      <xdr:rowOff>257175</xdr:rowOff>
    </xdr:to>
    <xdr:pic>
      <xdr:nvPicPr>
        <xdr:cNvPr id="1" name="Picture 2"/>
        <xdr:cNvPicPr preferRelativeResize="1">
          <a:picLocks noChangeAspect="1"/>
        </xdr:cNvPicPr>
      </xdr:nvPicPr>
      <xdr:blipFill>
        <a:blip r:embed="rId1"/>
        <a:stretch>
          <a:fillRect/>
        </a:stretch>
      </xdr:blipFill>
      <xdr:spPr>
        <a:xfrm>
          <a:off x="266700" y="781050"/>
          <a:ext cx="3009900" cy="12477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0</xdr:rowOff>
    </xdr:from>
    <xdr:to>
      <xdr:col>3</xdr:col>
      <xdr:colOff>47625</xdr:colOff>
      <xdr:row>3</xdr:row>
      <xdr:rowOff>133350</xdr:rowOff>
    </xdr:to>
    <xdr:pic>
      <xdr:nvPicPr>
        <xdr:cNvPr id="1" name="Picture 2"/>
        <xdr:cNvPicPr preferRelativeResize="1">
          <a:picLocks noChangeAspect="1"/>
        </xdr:cNvPicPr>
      </xdr:nvPicPr>
      <xdr:blipFill>
        <a:blip r:embed="rId1"/>
        <a:stretch>
          <a:fillRect/>
        </a:stretch>
      </xdr:blipFill>
      <xdr:spPr>
        <a:xfrm>
          <a:off x="266700" y="0"/>
          <a:ext cx="2066925" cy="8382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190500</xdr:colOff>
      <xdr:row>0</xdr:row>
      <xdr:rowOff>161925</xdr:rowOff>
    </xdr:from>
    <xdr:to>
      <xdr:col>10</xdr:col>
      <xdr:colOff>676275</xdr:colOff>
      <xdr:row>2</xdr:row>
      <xdr:rowOff>133350</xdr:rowOff>
    </xdr:to>
    <xdr:pic>
      <xdr:nvPicPr>
        <xdr:cNvPr id="1" name="Image 1" descr="C:\Program Files (x86)\Microsoft Office\MEDIA\CAGCAT10\j0293236.wmf"/>
        <xdr:cNvPicPr preferRelativeResize="1">
          <a:picLocks noChangeAspect="1"/>
        </xdr:cNvPicPr>
      </xdr:nvPicPr>
      <xdr:blipFill>
        <a:blip r:embed="rId1"/>
        <a:stretch>
          <a:fillRect/>
        </a:stretch>
      </xdr:blipFill>
      <xdr:spPr>
        <a:xfrm>
          <a:off x="7286625" y="161925"/>
          <a:ext cx="485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emploi.belgique.be/detailA_Z.aspx?id=926"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pageSetUpPr fitToPage="1"/>
  </sheetPr>
  <dimension ref="D1:AU59"/>
  <sheetViews>
    <sheetView showGridLines="0" tabSelected="1" zoomScale="90" zoomScaleNormal="90" zoomScalePageLayoutView="0" workbookViewId="0" topLeftCell="A1">
      <selection activeCell="Q40" sqref="Q40"/>
    </sheetView>
  </sheetViews>
  <sheetFormatPr defaultColWidth="11.421875" defaultRowHeight="15"/>
  <cols>
    <col min="1" max="1" width="2.57421875" style="0" customWidth="1"/>
    <col min="2" max="2" width="11.421875" style="0" hidden="1" customWidth="1"/>
    <col min="3" max="3" width="0" style="0" hidden="1" customWidth="1"/>
    <col min="4" max="5" width="11.421875" style="0" hidden="1" customWidth="1"/>
    <col min="6" max="6" width="20.140625" style="0" customWidth="1"/>
    <col min="7" max="7" width="23.140625" style="0" customWidth="1"/>
    <col min="8" max="8" width="23.140625" style="0" hidden="1" customWidth="1"/>
    <col min="9" max="9" width="10.57421875" style="0" hidden="1" customWidth="1"/>
    <col min="10" max="10" width="5.57421875" style="0" hidden="1" customWidth="1"/>
    <col min="11" max="11" width="9.57421875" style="0" hidden="1" customWidth="1"/>
    <col min="12" max="12" width="9.8515625" style="0" hidden="1" customWidth="1"/>
    <col min="13" max="15" width="12.57421875" style="0" hidden="1" customWidth="1"/>
    <col min="16" max="16" width="9.00390625" style="0" customWidth="1"/>
    <col min="17" max="17" width="20.00390625" style="0" customWidth="1"/>
    <col min="18" max="18" width="23.140625" style="0" customWidth="1"/>
    <col min="19" max="19" width="23.140625" style="0" hidden="1" customWidth="1"/>
    <col min="25" max="25" width="11.57421875" style="0" customWidth="1"/>
    <col min="27" max="27" width="9.00390625" style="0" customWidth="1"/>
    <col min="28" max="28" width="12.7109375" style="0" customWidth="1"/>
    <col min="35" max="35" width="19.28125" style="0" bestFit="1" customWidth="1"/>
    <col min="36" max="37" width="11.421875" style="0" hidden="1" customWidth="1"/>
    <col min="38" max="38" width="34.8515625" style="0" hidden="1" customWidth="1"/>
    <col min="39" max="41" width="11.421875" style="0" hidden="1" customWidth="1"/>
    <col min="42" max="42" width="20.421875" style="0" hidden="1" customWidth="1"/>
    <col min="43" max="44" width="11.421875" style="0" hidden="1" customWidth="1"/>
    <col min="45" max="45" width="20.421875" style="0" hidden="1" customWidth="1"/>
    <col min="46" max="46" width="11.421875" style="0" hidden="1" customWidth="1"/>
    <col min="47" max="47" width="20.421875" style="148" hidden="1" customWidth="1"/>
  </cols>
  <sheetData>
    <row r="1" spans="36:44" ht="15">
      <c r="AJ1" s="170" t="s">
        <v>28</v>
      </c>
      <c r="AK1" s="170"/>
      <c r="AL1" s="170"/>
      <c r="AN1" s="10" t="s">
        <v>29</v>
      </c>
      <c r="AQ1" s="10" t="s">
        <v>116</v>
      </c>
      <c r="AR1" s="10"/>
    </row>
    <row r="2" spans="36:47" ht="15">
      <c r="AJ2" s="7" t="s">
        <v>0</v>
      </c>
      <c r="AK2" s="8">
        <v>41640</v>
      </c>
      <c r="AL2" s="7" t="s">
        <v>1</v>
      </c>
      <c r="AN2" s="9" t="s">
        <v>30</v>
      </c>
      <c r="AP2" s="9" t="s">
        <v>52</v>
      </c>
      <c r="AQ2" s="65" t="s">
        <v>99</v>
      </c>
      <c r="AR2" s="65"/>
      <c r="AS2" s="9" t="s">
        <v>54</v>
      </c>
      <c r="AU2" s="155"/>
    </row>
    <row r="3" spans="36:45" ht="15">
      <c r="AJ3" s="7" t="s">
        <v>2</v>
      </c>
      <c r="AK3" s="8">
        <v>41750</v>
      </c>
      <c r="AL3" s="7" t="s">
        <v>5</v>
      </c>
      <c r="AN3" s="9" t="s">
        <v>31</v>
      </c>
      <c r="AP3" s="9" t="s">
        <v>53</v>
      </c>
      <c r="AQ3" s="65" t="s">
        <v>100</v>
      </c>
      <c r="AR3" s="65"/>
      <c r="AS3" s="9" t="s">
        <v>55</v>
      </c>
    </row>
    <row r="4" spans="36:40" ht="15">
      <c r="AJ4" s="7" t="s">
        <v>6</v>
      </c>
      <c r="AK4" s="8">
        <v>41760</v>
      </c>
      <c r="AL4" s="7" t="s">
        <v>7</v>
      </c>
      <c r="AN4" s="9" t="s">
        <v>32</v>
      </c>
    </row>
    <row r="5" spans="36:40" ht="15.75" thickBot="1">
      <c r="AJ5" s="7" t="s">
        <v>6</v>
      </c>
      <c r="AK5" s="8">
        <v>41788</v>
      </c>
      <c r="AL5" s="7" t="s">
        <v>8</v>
      </c>
      <c r="AN5" s="9" t="s">
        <v>33</v>
      </c>
    </row>
    <row r="6" spans="6:40" ht="15.75" thickBot="1">
      <c r="F6" s="168" t="s">
        <v>17</v>
      </c>
      <c r="G6" s="169"/>
      <c r="H6" s="6"/>
      <c r="I6" s="6"/>
      <c r="J6" s="6"/>
      <c r="K6" s="6"/>
      <c r="L6" s="6"/>
      <c r="M6" s="6"/>
      <c r="N6" s="6"/>
      <c r="O6" s="6"/>
      <c r="Q6" s="77" t="s">
        <v>184</v>
      </c>
      <c r="AJ6" s="7" t="s">
        <v>2</v>
      </c>
      <c r="AK6" s="8">
        <v>41799</v>
      </c>
      <c r="AL6" s="7" t="s">
        <v>9</v>
      </c>
      <c r="AN6" s="9" t="s">
        <v>34</v>
      </c>
    </row>
    <row r="7" spans="6:40" ht="15">
      <c r="F7" s="6"/>
      <c r="G7" s="6"/>
      <c r="H7" s="6"/>
      <c r="I7" s="6"/>
      <c r="J7" s="6"/>
      <c r="K7" s="6"/>
      <c r="L7" s="6"/>
      <c r="M7" s="6"/>
      <c r="N7" s="6"/>
      <c r="O7" s="6"/>
      <c r="Q7" s="77" t="s">
        <v>203</v>
      </c>
      <c r="AJ7" s="7" t="s">
        <v>2</v>
      </c>
      <c r="AK7" s="8">
        <v>41841</v>
      </c>
      <c r="AL7" s="7" t="s">
        <v>10</v>
      </c>
      <c r="AN7" s="9" t="s">
        <v>35</v>
      </c>
    </row>
    <row r="8" spans="6:40" ht="15.75" customHeight="1">
      <c r="F8" s="3" t="s">
        <v>18</v>
      </c>
      <c r="G8" s="4"/>
      <c r="H8" s="17"/>
      <c r="I8" s="6"/>
      <c r="J8" s="2"/>
      <c r="K8" s="2"/>
      <c r="L8" s="2"/>
      <c r="M8" s="1"/>
      <c r="N8" s="1"/>
      <c r="O8" s="1"/>
      <c r="AJ8" s="7" t="s">
        <v>3</v>
      </c>
      <c r="AK8" s="8">
        <v>41866</v>
      </c>
      <c r="AL8" s="7" t="s">
        <v>11</v>
      </c>
      <c r="AN8" s="9" t="s">
        <v>36</v>
      </c>
    </row>
    <row r="9" spans="6:40" ht="15">
      <c r="F9" s="5" t="s">
        <v>19</v>
      </c>
      <c r="G9" s="4"/>
      <c r="H9" s="17"/>
      <c r="I9" s="6"/>
      <c r="J9" s="2"/>
      <c r="K9" s="2"/>
      <c r="L9" s="2"/>
      <c r="M9" s="1"/>
      <c r="N9" s="1"/>
      <c r="O9" s="1"/>
      <c r="Q9" s="5" t="s">
        <v>118</v>
      </c>
      <c r="R9" s="67" t="str">
        <f>IF(G12="Merci de sélectionner","Merci de choisir votre spécialité",IF(G8="","Nom Manquant",IF(G9="","Prénom Manquant",IF(R12="","Nom Maitre de Stage Manquant",IF(R13="","Info Clinique Manquante",IF(R14="","Merci de Sélectionner votre service","OK"))))))</f>
        <v>Nom Manquant</v>
      </c>
      <c r="AJ9" s="7" t="s">
        <v>12</v>
      </c>
      <c r="AK9" s="8">
        <v>41944</v>
      </c>
      <c r="AL9" s="7" t="s">
        <v>13</v>
      </c>
      <c r="AN9" s="9" t="s">
        <v>37</v>
      </c>
    </row>
    <row r="10" spans="6:40" ht="15">
      <c r="F10" s="3" t="s">
        <v>200</v>
      </c>
      <c r="G10" s="4"/>
      <c r="H10" s="2"/>
      <c r="I10" s="6"/>
      <c r="M10" s="1"/>
      <c r="N10" s="1"/>
      <c r="O10" s="1"/>
      <c r="AJ10" s="7" t="s">
        <v>14</v>
      </c>
      <c r="AK10" s="8">
        <v>41954</v>
      </c>
      <c r="AL10" s="7" t="s">
        <v>15</v>
      </c>
      <c r="AN10" s="9" t="s">
        <v>38</v>
      </c>
    </row>
    <row r="11" spans="6:40" ht="15">
      <c r="F11" s="3" t="s">
        <v>201</v>
      </c>
      <c r="G11" s="4"/>
      <c r="H11" s="1"/>
      <c r="I11" s="6"/>
      <c r="M11" s="1"/>
      <c r="N11" s="1"/>
      <c r="O11" s="1"/>
      <c r="AJ11" s="7" t="s">
        <v>6</v>
      </c>
      <c r="AK11" s="8">
        <v>41998</v>
      </c>
      <c r="AL11" s="7" t="s">
        <v>16</v>
      </c>
      <c r="AN11" s="9" t="s">
        <v>39</v>
      </c>
    </row>
    <row r="12" spans="6:40" ht="15.75" customHeight="1">
      <c r="F12" s="3" t="s">
        <v>20</v>
      </c>
      <c r="G12" s="4"/>
      <c r="H12" s="17"/>
      <c r="I12" s="6"/>
      <c r="J12" s="6"/>
      <c r="K12" s="6"/>
      <c r="L12" s="6"/>
      <c r="M12" s="6"/>
      <c r="N12" s="1"/>
      <c r="O12" s="1"/>
      <c r="Q12" s="5" t="s">
        <v>23</v>
      </c>
      <c r="R12" s="4"/>
      <c r="S12" s="17"/>
      <c r="AN12" s="9" t="s">
        <v>40</v>
      </c>
    </row>
    <row r="13" spans="6:40" ht="15">
      <c r="F13" s="5" t="s">
        <v>21</v>
      </c>
      <c r="G13" s="4"/>
      <c r="H13" s="17"/>
      <c r="I13" s="6"/>
      <c r="J13" s="6"/>
      <c r="K13" s="6"/>
      <c r="L13" s="6"/>
      <c r="M13" s="6"/>
      <c r="N13" s="1"/>
      <c r="O13" s="1"/>
      <c r="Q13" s="5" t="s">
        <v>24</v>
      </c>
      <c r="R13" s="4"/>
      <c r="S13" s="17"/>
      <c r="AN13" s="9" t="s">
        <v>41</v>
      </c>
    </row>
    <row r="14" spans="6:19" ht="15">
      <c r="F14" s="5" t="s">
        <v>22</v>
      </c>
      <c r="G14" s="4"/>
      <c r="H14" s="17"/>
      <c r="I14" s="6"/>
      <c r="J14" s="6"/>
      <c r="K14" s="6"/>
      <c r="L14" s="6"/>
      <c r="M14" s="6"/>
      <c r="N14" s="1"/>
      <c r="O14" s="1"/>
      <c r="Q14" s="5" t="s">
        <v>25</v>
      </c>
      <c r="R14" s="4"/>
      <c r="S14" s="17"/>
    </row>
    <row r="15" spans="6:15" ht="15">
      <c r="F15" s="1"/>
      <c r="G15" s="1"/>
      <c r="H15" s="1"/>
      <c r="I15" s="6"/>
      <c r="J15" s="6"/>
      <c r="K15" s="6"/>
      <c r="L15" s="6"/>
      <c r="M15" s="6"/>
      <c r="N15" s="1"/>
      <c r="O15" s="1"/>
    </row>
    <row r="16" spans="10:15" ht="15" hidden="1">
      <c r="J16" s="2"/>
      <c r="K16" s="2"/>
      <c r="L16" s="2"/>
      <c r="M16" s="1"/>
      <c r="N16" s="1"/>
      <c r="O16" s="1"/>
    </row>
    <row r="17" spans="10:15" ht="15" hidden="1">
      <c r="J17" s="2"/>
      <c r="K17" s="2"/>
      <c r="L17" s="2"/>
      <c r="M17" s="1"/>
      <c r="N17" s="1"/>
      <c r="O17" s="1"/>
    </row>
    <row r="18" spans="10:15" ht="15" hidden="1">
      <c r="J18" s="2"/>
      <c r="K18" s="2"/>
      <c r="L18" s="2"/>
      <c r="M18" s="1"/>
      <c r="N18" s="1"/>
      <c r="O18" s="1"/>
    </row>
    <row r="19" spans="7:15" ht="15">
      <c r="G19" s="1"/>
      <c r="H19" s="1"/>
      <c r="I19" s="1"/>
      <c r="J19" s="1"/>
      <c r="K19" s="1"/>
      <c r="L19" s="1"/>
      <c r="M19" s="1"/>
      <c r="N19" s="1"/>
      <c r="O19" s="1"/>
    </row>
    <row r="20" spans="6:15" ht="15" hidden="1">
      <c r="F20" s="5" t="s">
        <v>26</v>
      </c>
      <c r="G20" s="4" t="s">
        <v>27</v>
      </c>
      <c r="H20" s="17"/>
      <c r="I20" s="17"/>
      <c r="J20" s="17"/>
      <c r="K20" s="17"/>
      <c r="L20" s="17"/>
      <c r="M20" s="17"/>
      <c r="N20" s="17"/>
      <c r="O20" s="17"/>
    </row>
    <row r="22" spans="6:15" ht="15">
      <c r="F22" s="5" t="s">
        <v>29</v>
      </c>
      <c r="G22" s="4" t="s">
        <v>37</v>
      </c>
      <c r="H22" s="17"/>
      <c r="I22" s="17"/>
      <c r="J22" s="17"/>
      <c r="K22" s="17"/>
      <c r="L22" s="17"/>
      <c r="M22" s="17"/>
      <c r="N22" s="17"/>
      <c r="O22" s="17"/>
    </row>
    <row r="24" spans="6:27" ht="15.75" thickBot="1">
      <c r="F24" s="11"/>
      <c r="G24" s="11"/>
      <c r="H24" s="11"/>
      <c r="I24" s="11"/>
      <c r="J24" s="11"/>
      <c r="K24" s="11"/>
      <c r="L24" s="11"/>
      <c r="M24" s="11"/>
      <c r="N24" s="11"/>
      <c r="O24" s="11"/>
      <c r="P24" s="11"/>
      <c r="Q24" s="11"/>
      <c r="R24" s="11"/>
      <c r="S24" s="11"/>
      <c r="T24" s="11"/>
      <c r="U24" s="11"/>
      <c r="V24" s="11"/>
      <c r="W24" s="11"/>
      <c r="X24" s="11"/>
      <c r="Y24" s="11"/>
      <c r="Z24" s="11"/>
      <c r="AA24" s="11"/>
    </row>
    <row r="25" spans="4:28" ht="51" customHeight="1">
      <c r="D25" s="12" t="s">
        <v>29</v>
      </c>
      <c r="E25" s="12" t="s">
        <v>117</v>
      </c>
      <c r="F25" s="81" t="s">
        <v>42</v>
      </c>
      <c r="G25" s="81" t="s">
        <v>151</v>
      </c>
      <c r="H25" s="12" t="s">
        <v>150</v>
      </c>
      <c r="I25" s="18" t="s">
        <v>121</v>
      </c>
      <c r="J25" s="18" t="s">
        <v>56</v>
      </c>
      <c r="K25" s="18" t="s">
        <v>57</v>
      </c>
      <c r="L25" s="18" t="s">
        <v>4</v>
      </c>
      <c r="M25" s="18" t="s">
        <v>43</v>
      </c>
      <c r="N25" s="18" t="s">
        <v>51</v>
      </c>
      <c r="P25" s="154" t="s">
        <v>176</v>
      </c>
      <c r="Q25" s="150" t="s">
        <v>177</v>
      </c>
      <c r="R25" s="151" t="s">
        <v>178</v>
      </c>
      <c r="S25" s="151" t="s">
        <v>149</v>
      </c>
      <c r="T25" s="151" t="s">
        <v>44</v>
      </c>
      <c r="U25" s="151" t="s">
        <v>179</v>
      </c>
      <c r="V25" s="152" t="s">
        <v>180</v>
      </c>
      <c r="W25" s="153" t="s">
        <v>93</v>
      </c>
      <c r="X25" s="81" t="s">
        <v>45</v>
      </c>
      <c r="Y25" s="81" t="s">
        <v>46</v>
      </c>
      <c r="Z25" s="81" t="s">
        <v>140</v>
      </c>
      <c r="AA25" s="81" t="s">
        <v>181</v>
      </c>
      <c r="AB25" s="81" t="s">
        <v>182</v>
      </c>
    </row>
    <row r="26" spans="4:28" ht="15">
      <c r="D26" s="66" t="str">
        <f>IF(ISERROR(YEAR(F26)&amp;(IF(MONTH(F26)&lt;10,"0"&amp;MONTH(F26),MONTH(F26)))),"",YEAR(F26)&amp;(IF(MONTH(F26)&lt;10,"0"&amp;MONTH(F26),MONTH(F26))))</f>
        <v>201808</v>
      </c>
      <c r="E26" s="66" t="str">
        <f>IF(ISERROR(YEAR(F26)&amp;"Q"&amp;ROUNDUP(MONTH(F26)/3,0)),"",YEAR(F26)&amp;"Q"&amp;ROUNDUP(MONTH(F26)/3,0))</f>
        <v>2018Q3</v>
      </c>
      <c r="F26" s="14">
        <f>VLOOKUP($G$22,'Cal 2018'!$G$1:$K$13,4,FALSE)</f>
        <v>43313</v>
      </c>
      <c r="G26" s="9" t="str">
        <f>IF(ISERROR(VLOOKUP(WEEKDAY(F26,2),'Cal 2018'!$N$18:$O$25,2,FALSE)),"",VLOOKUP(WEEKDAY(F26,2),'Cal 2018'!$N$18:$O$25,2,FALSE))</f>
        <v>Mercredi</v>
      </c>
      <c r="H26" s="9" t="str">
        <f aca="true" t="shared" si="0" ref="H26:H56">IF(F26="","",IF(ISERROR(IF(J26="Férié","Férié",IF(L26="Dimanche","Dimanche",IF(K26="Samedi","Samedi","Semaine")))),"",IF(J26="Férié","Férié",IF(L26="Dimanche","Dimanche",IF(K26="Samedi","Samedi","Semaine")))))</f>
        <v>Semaine</v>
      </c>
      <c r="I26" s="69">
        <f>IF(ISERROR(1+INT(MIN(MOD(F26-DATE(YEAR(F26)+{-1;0;1},1,5)+WEEKDAY(DATE(YEAR(F26)+{-1;0;1},1,3)),734))/7)),"",1+INT(MIN(MOD(F26-DATE(YEAR(F26)+{-1;0;1},1,5)+WEEKDAY(DATE(YEAR(F26)+{-1;0;1},1,3)),734))/7))</f>
        <v>31</v>
      </c>
      <c r="J26" s="19">
        <f>IF(ISERROR(VLOOKUP(F26,'Cal 2018'!$B$2:$D$11,3,FALSE)),"",VLOOKUP(F26,'Cal 2018'!$B$2:$D$11,3,FALSE))</f>
      </c>
      <c r="K26" s="19">
        <f>IF(ISERROR(IF(M26=6,"Samedi","")),"",IF(M26=6,"Samedi",""))</f>
      </c>
      <c r="L26" s="19">
        <f>IF(ISERROR(IF(M26=7,"Dimanche","")),"",IF(M26=7,"Dimanche",""))</f>
      </c>
      <c r="M26" s="19">
        <f>IF(ISERROR(WEEKDAY(F26,2)),"",WEEKDAY(F26,2))</f>
        <v>3</v>
      </c>
      <c r="N26" s="19">
        <f aca="true" t="shared" si="1" ref="N26:N56">IF(ISERROR(IF(H26="Férié",VLOOKUP($G$12,$AP$1:$AQ$3,2,FALSE)&amp;7,VLOOKUP($G$12,$AP$1:$AQ$3,2,FALSE)&amp;M26)),"",IF(H26="Férié",VLOOKUP($G$12,$AP$1:$AQ$3,2,FALSE)&amp;7,VLOOKUP($G$12,$AP$1:$AQ$3,2,FALSE)&amp;M26))</f>
      </c>
      <c r="P26" s="83"/>
      <c r="Q26" s="85"/>
      <c r="R26" s="60"/>
      <c r="S26" s="60"/>
      <c r="T26" s="60"/>
      <c r="U26" s="60"/>
      <c r="V26" s="86"/>
      <c r="W26" s="84">
        <f aca="true" t="shared" si="2" ref="W26:W56">IF(H26="","",P26+Q26+R26+U26+V26)</f>
        <v>0</v>
      </c>
      <c r="X26" s="82">
        <f>IF(F26="","",IF(G12="Dentisterie",0,IF(T26="",0,IF(T26="OUI",10,0)+IF(T26="NON",0,U26*10)+IF(T26="NON",0,V26*20))))</f>
        <v>0</v>
      </c>
      <c r="Y26" s="82">
        <f>IF(ISERROR(IF(R26+Q26=0,0,VLOOKUP(N26,'Cal 2018'!$Q$1:$T$15,2,FALSE)*COUNT(R26)+VLOOKUP(N26,'Cal 2018'!$Q$1:$T$15,3,FALSE)*IF(Q26=0,0,COUNT(Q26))+VLOOKUP(N26,'Cal 2018'!$Q$1:$T$15,4,FALSE)*IF(Q26=0,0,COUNT(Q26)))),"",IF(R26+Q26=0,0,VLOOKUP(N26,'Cal 2018'!$Q$1:$T$15,2,FALSE)*COUNT(R26)+VLOOKUP(N26,'Cal 2018'!$Q$1:$T$15,3,FALSE)*IF(Q26=0,0,COUNT(Q26))+VLOOKUP(N26,'Cal 2018'!$Q$1:$T$15,4,FALSE)*IF(Q26=0,0,COUNT(Q26))))</f>
        <v>0</v>
      </c>
      <c r="Z26" s="60"/>
      <c r="AA26" s="82">
        <f>IF(H26="","",IF(Z26&gt;0,VLOOKUP(LEFT(N26,5),'Cal 2018'!$U$1:$V$3,2,FALSE)*Z26,0))</f>
        <v>0</v>
      </c>
      <c r="AB26" s="60"/>
    </row>
    <row r="27" spans="4:28" ht="15">
      <c r="D27" s="66" t="str">
        <f aca="true" t="shared" si="3" ref="D27:D56">IF(ISERROR(YEAR(F27)&amp;(IF(MONTH(F27)&lt;10,"0"&amp;MONTH(F27),MONTH(F27)))),"",YEAR(F27)&amp;(IF(MONTH(F27)&lt;10,"0"&amp;MONTH(F27),MONTH(F27))))</f>
        <v>201808</v>
      </c>
      <c r="E27" s="66" t="str">
        <f aca="true" t="shared" si="4" ref="E27:E56">IF(ISERROR(YEAR(F27)&amp;"Q"&amp;ROUNDUP(MONTH(F27)/3,0)),"",YEAR(F27)&amp;"Q"&amp;ROUNDUP(MONTH(F27)/3,0))</f>
        <v>2018Q3</v>
      </c>
      <c r="F27" s="14">
        <f>IF(ISERROR(IF(F26+1&lt;VLOOKUP($G$22,'Cal 2018'!$G$1:$K$13,5,FALSE)+1,F26+1,"")),"",IF(F26+1&lt;VLOOKUP($G$22,'Cal 2018'!$G$1:$K$13,5,FALSE)+1,F26+1,""))</f>
        <v>43314</v>
      </c>
      <c r="G27" s="9" t="str">
        <f>IF(ISERROR(VLOOKUP(WEEKDAY(F27,2),'Cal 2018'!$N$18:$O$25,2,FALSE)),"",VLOOKUP(WEEKDAY(F27,2),'Cal 2018'!$N$18:$O$25,2,FALSE))</f>
        <v>Jeudi</v>
      </c>
      <c r="H27" s="9" t="str">
        <f t="shared" si="0"/>
        <v>Semaine</v>
      </c>
      <c r="I27" s="69">
        <f>IF(ISERROR(1+INT(MIN(MOD(F27-DATE(YEAR(F27)+{-1;0;1},1,5)+WEEKDAY(DATE(YEAR(F27)+{-1;0;1},1,3)),734))/7)),"",1+INT(MIN(MOD(F27-DATE(YEAR(F27)+{-1;0;1},1,5)+WEEKDAY(DATE(YEAR(F27)+{-1;0;1},1,3)),734))/7))</f>
        <v>31</v>
      </c>
      <c r="J27" s="19">
        <f>IF(ISERROR(VLOOKUP(F27,'Cal 2018'!$B$2:$D$11,3,FALSE)),"",VLOOKUP(F27,'Cal 2018'!$B$2:$D$11,3,FALSE))</f>
      </c>
      <c r="K27" s="19">
        <f aca="true" t="shared" si="5" ref="K27:K56">IF(ISERROR(IF(M27=6,"Samedi","")),"",IF(M27=6,"Samedi",""))</f>
      </c>
      <c r="L27" s="19">
        <f aca="true" t="shared" si="6" ref="L27:L56">IF(ISERROR(IF(M27=7,"Dimanche","")),"",IF(M27=7,"Dimanche",""))</f>
      </c>
      <c r="M27" s="19">
        <f aca="true" t="shared" si="7" ref="M27:M56">IF(ISERROR(WEEKDAY(F27,2)),"",WEEKDAY(F27,2))</f>
        <v>4</v>
      </c>
      <c r="N27" s="19">
        <f t="shared" si="1"/>
      </c>
      <c r="P27" s="83"/>
      <c r="Q27" s="85"/>
      <c r="R27" s="60"/>
      <c r="S27" s="60"/>
      <c r="T27" s="60"/>
      <c r="U27" s="60"/>
      <c r="V27" s="86"/>
      <c r="W27" s="84">
        <f t="shared" si="2"/>
        <v>0</v>
      </c>
      <c r="X27" s="82">
        <f aca="true" t="shared" si="8" ref="X27:X56">IF(F27="","",IF(G13="Dentisterie",0,IF(T27="",0,IF(T27="OUI",10,0)+IF(T27="NON",0,U27*10)+IF(T27="NON",0,V27*20))))</f>
        <v>0</v>
      </c>
      <c r="Y27" s="82">
        <f>IF(ISERROR(IF(R27+Q27=0,0,VLOOKUP(N27,'Cal 2018'!$Q$1:$T$15,2,FALSE)*COUNT(R27)+VLOOKUP(N27,'Cal 2018'!$Q$1:$T$15,3,FALSE)*IF(Q27=0,0,COUNT(Q27))+VLOOKUP(N27,'Cal 2018'!$Q$1:$T$15,4,FALSE)*IF(Q27=0,0,COUNT(Q27)))),"",IF(R27+Q27=0,0,VLOOKUP(N27,'Cal 2018'!$Q$1:$T$15,2,FALSE)*COUNT(R27)+VLOOKUP(N27,'Cal 2018'!$Q$1:$T$15,3,FALSE)*IF(Q27=0,0,COUNT(Q27))+VLOOKUP(N27,'Cal 2018'!$Q$1:$T$15,4,FALSE)*IF(Q27=0,0,COUNT(Q27))))</f>
        <v>0</v>
      </c>
      <c r="Z27" s="60"/>
      <c r="AA27" s="82">
        <f>IF(H27="","",IF(Z27&gt;0,VLOOKUP(LEFT(N27,5),'Cal 2018'!$U$1:$V$3,2,FALSE)*Z27,0))</f>
        <v>0</v>
      </c>
      <c r="AB27" s="60"/>
    </row>
    <row r="28" spans="4:28" ht="15">
      <c r="D28" s="66" t="str">
        <f t="shared" si="3"/>
        <v>201808</v>
      </c>
      <c r="E28" s="66" t="str">
        <f t="shared" si="4"/>
        <v>2018Q3</v>
      </c>
      <c r="F28" s="14">
        <f>IF(ISERROR(IF(F27+1&lt;VLOOKUP($G$22,'Cal 2018'!$G$1:$K$13,5,FALSE)+1,F27+1,"")),"",IF(F27+1&lt;VLOOKUP($G$22,'Cal 2018'!$G$1:$K$13,5,FALSE)+1,F27+1,""))</f>
        <v>43315</v>
      </c>
      <c r="G28" s="9" t="str">
        <f>IF(ISERROR(VLOOKUP(WEEKDAY(F28,2),'Cal 2018'!$N$18:$O$25,2,FALSE)),"",VLOOKUP(WEEKDAY(F28,2),'Cal 2018'!$N$18:$O$25,2,FALSE))</f>
        <v>Vendredi</v>
      </c>
      <c r="H28" s="9" t="str">
        <f t="shared" si="0"/>
        <v>Semaine</v>
      </c>
      <c r="I28" s="69">
        <f>IF(ISERROR(1+INT(MIN(MOD(F28-DATE(YEAR(F28)+{-1;0;1},1,5)+WEEKDAY(DATE(YEAR(F28)+{-1;0;1},1,3)),734))/7)),"",1+INT(MIN(MOD(F28-DATE(YEAR(F28)+{-1;0;1},1,5)+WEEKDAY(DATE(YEAR(F28)+{-1;0;1},1,3)),734))/7))</f>
        <v>31</v>
      </c>
      <c r="J28" s="19">
        <f>IF(ISERROR(VLOOKUP(F28,'Cal 2018'!$B$2:$D$11,3,FALSE)),"",VLOOKUP(F28,'Cal 2018'!$B$2:$D$11,3,FALSE))</f>
      </c>
      <c r="K28" s="19">
        <f t="shared" si="5"/>
      </c>
      <c r="L28" s="19">
        <f t="shared" si="6"/>
      </c>
      <c r="M28" s="19">
        <f t="shared" si="7"/>
        <v>5</v>
      </c>
      <c r="N28" s="19">
        <f t="shared" si="1"/>
      </c>
      <c r="P28" s="83"/>
      <c r="Q28" s="85"/>
      <c r="R28" s="60"/>
      <c r="S28" s="60"/>
      <c r="T28" s="60"/>
      <c r="U28" s="60"/>
      <c r="V28" s="86"/>
      <c r="W28" s="84">
        <f t="shared" si="2"/>
        <v>0</v>
      </c>
      <c r="X28" s="82">
        <f t="shared" si="8"/>
        <v>0</v>
      </c>
      <c r="Y28" s="82">
        <f>IF(ISERROR(IF(R28+Q28=0,0,VLOOKUP(N28,'Cal 2018'!$Q$1:$T$15,2,FALSE)*COUNT(R28)+VLOOKUP(N28,'Cal 2018'!$Q$1:$T$15,3,FALSE)*IF(Q28=0,0,COUNT(Q28))+VLOOKUP(N28,'Cal 2018'!$Q$1:$T$15,4,FALSE)*IF(Q28=0,0,COUNT(Q28)))),"",IF(R28+Q28=0,0,VLOOKUP(N28,'Cal 2018'!$Q$1:$T$15,2,FALSE)*COUNT(R28)+VLOOKUP(N28,'Cal 2018'!$Q$1:$T$15,3,FALSE)*IF(Q28=0,0,COUNT(Q28))+VLOOKUP(N28,'Cal 2018'!$Q$1:$T$15,4,FALSE)*IF(Q28=0,0,COUNT(Q28))))</f>
        <v>0</v>
      </c>
      <c r="Z28" s="60"/>
      <c r="AA28" s="82">
        <f>IF(H28="","",IF(Z28&gt;0,VLOOKUP(LEFT(N28,5),'Cal 2018'!$U$1:$V$3,2,FALSE)*Z28,0))</f>
        <v>0</v>
      </c>
      <c r="AB28" s="60"/>
    </row>
    <row r="29" spans="4:28" ht="15">
      <c r="D29" s="66" t="str">
        <f t="shared" si="3"/>
        <v>201808</v>
      </c>
      <c r="E29" s="66" t="str">
        <f t="shared" si="4"/>
        <v>2018Q3</v>
      </c>
      <c r="F29" s="14">
        <f>IF(ISERROR(IF(F28+1&lt;VLOOKUP($G$22,'Cal 2018'!$G$1:$K$13,5,FALSE)+1,F28+1,"")),"",IF(F28+1&lt;VLOOKUP($G$22,'Cal 2018'!$G$1:$K$13,5,FALSE)+1,F28+1,""))</f>
        <v>43316</v>
      </c>
      <c r="G29" s="9" t="str">
        <f>IF(ISERROR(VLOOKUP(WEEKDAY(F29,2),'Cal 2018'!$N$18:$O$25,2,FALSE)),"",VLOOKUP(WEEKDAY(F29,2),'Cal 2018'!$N$18:$O$25,2,FALSE))</f>
        <v>Samedi</v>
      </c>
      <c r="H29" s="9" t="str">
        <f t="shared" si="0"/>
        <v>Samedi</v>
      </c>
      <c r="I29" s="69">
        <f>IF(ISERROR(1+INT(MIN(MOD(F29-DATE(YEAR(F29)+{-1;0;1},1,5)+WEEKDAY(DATE(YEAR(F29)+{-1;0;1},1,3)),734))/7)),"",1+INT(MIN(MOD(F29-DATE(YEAR(F29)+{-1;0;1},1,5)+WEEKDAY(DATE(YEAR(F29)+{-1;0;1},1,3)),734))/7))</f>
        <v>31</v>
      </c>
      <c r="J29" s="19">
        <f>IF(ISERROR(VLOOKUP(F29,'Cal 2018'!$B$2:$D$11,3,FALSE)),"",VLOOKUP(F29,'Cal 2018'!$B$2:$D$11,3,FALSE))</f>
      </c>
      <c r="K29" s="19" t="str">
        <f t="shared" si="5"/>
        <v>Samedi</v>
      </c>
      <c r="L29" s="19">
        <f t="shared" si="6"/>
      </c>
      <c r="M29" s="19">
        <f t="shared" si="7"/>
        <v>6</v>
      </c>
      <c r="N29" s="19">
        <f t="shared" si="1"/>
      </c>
      <c r="P29" s="83"/>
      <c r="Q29" s="85"/>
      <c r="R29" s="60"/>
      <c r="S29" s="60"/>
      <c r="T29" s="60"/>
      <c r="U29" s="60"/>
      <c r="V29" s="86"/>
      <c r="W29" s="84">
        <f t="shared" si="2"/>
        <v>0</v>
      </c>
      <c r="X29" s="82">
        <f t="shared" si="8"/>
        <v>0</v>
      </c>
      <c r="Y29" s="82">
        <f>IF(ISERROR(IF(R29+Q29=0,0,VLOOKUP(N29,'Cal 2018'!$Q$1:$T$15,2,FALSE)*COUNT(R29)+VLOOKUP(N29,'Cal 2018'!$Q$1:$T$15,3,FALSE)*IF(Q29=0,0,COUNT(Q29))+VLOOKUP(N29,'Cal 2018'!$Q$1:$T$15,4,FALSE)*IF(Q29=0,0,COUNT(Q29)))),"",IF(R29+Q29=0,0,VLOOKUP(N29,'Cal 2018'!$Q$1:$T$15,2,FALSE)*COUNT(R29)+VLOOKUP(N29,'Cal 2018'!$Q$1:$T$15,3,FALSE)*IF(Q29=0,0,COUNT(Q29))+VLOOKUP(N29,'Cal 2018'!$Q$1:$T$15,4,FALSE)*IF(Q29=0,0,COUNT(Q29))))</f>
        <v>0</v>
      </c>
      <c r="Z29" s="60"/>
      <c r="AA29" s="82">
        <f>IF(H29="","",IF(Z29&gt;0,VLOOKUP(LEFT(N29,5),'Cal 2018'!$U$1:$V$3,2,FALSE)*Z29,0))</f>
        <v>0</v>
      </c>
      <c r="AB29" s="60"/>
    </row>
    <row r="30" spans="4:28" ht="15">
      <c r="D30" s="66" t="str">
        <f t="shared" si="3"/>
        <v>201808</v>
      </c>
      <c r="E30" s="66" t="str">
        <f t="shared" si="4"/>
        <v>2018Q3</v>
      </c>
      <c r="F30" s="14">
        <f>IF(ISERROR(IF(F29+1&lt;VLOOKUP($G$22,'Cal 2018'!$G$1:$K$13,5,FALSE)+1,F29+1,"")),"",IF(F29+1&lt;VLOOKUP($G$22,'Cal 2018'!$G$1:$K$13,5,FALSE)+1,F29+1,""))</f>
        <v>43317</v>
      </c>
      <c r="G30" s="9" t="str">
        <f>IF(ISERROR(VLOOKUP(WEEKDAY(F30,2),'Cal 2018'!$N$18:$O$25,2,FALSE)),"",VLOOKUP(WEEKDAY(F30,2),'Cal 2018'!$N$18:$O$25,2,FALSE))</f>
        <v>Dimanche</v>
      </c>
      <c r="H30" s="9" t="str">
        <f t="shared" si="0"/>
        <v>Dimanche</v>
      </c>
      <c r="I30" s="69">
        <f>IF(ISERROR(1+INT(MIN(MOD(F30-DATE(YEAR(F30)+{-1;0;1},1,5)+WEEKDAY(DATE(YEAR(F30)+{-1;0;1},1,3)),734))/7)),"",1+INT(MIN(MOD(F30-DATE(YEAR(F30)+{-1;0;1},1,5)+WEEKDAY(DATE(YEAR(F30)+{-1;0;1},1,3)),734))/7))</f>
        <v>31</v>
      </c>
      <c r="J30" s="19">
        <f>IF(ISERROR(VLOOKUP(F30,'Cal 2018'!$B$2:$D$11,3,FALSE)),"",VLOOKUP(F30,'Cal 2018'!$B$2:$D$11,3,FALSE))</f>
      </c>
      <c r="K30" s="19">
        <f t="shared" si="5"/>
      </c>
      <c r="L30" s="19" t="str">
        <f t="shared" si="6"/>
        <v>Dimanche</v>
      </c>
      <c r="M30" s="19">
        <f t="shared" si="7"/>
        <v>7</v>
      </c>
      <c r="N30" s="19">
        <f t="shared" si="1"/>
      </c>
      <c r="P30" s="83"/>
      <c r="Q30" s="85"/>
      <c r="R30" s="60"/>
      <c r="S30" s="60"/>
      <c r="T30" s="60"/>
      <c r="U30" s="60"/>
      <c r="V30" s="86"/>
      <c r="W30" s="84">
        <f t="shared" si="2"/>
        <v>0</v>
      </c>
      <c r="X30" s="82">
        <f t="shared" si="8"/>
        <v>0</v>
      </c>
      <c r="Y30" s="82">
        <f>IF(ISERROR(IF(R30+Q30=0,0,VLOOKUP(N30,'Cal 2018'!$Q$1:$T$15,2,FALSE)*COUNT(R30)+VLOOKUP(N30,'Cal 2018'!$Q$1:$T$15,3,FALSE)*IF(Q30=0,0,COUNT(Q30))+VLOOKUP(N30,'Cal 2018'!$Q$1:$T$15,4,FALSE)*IF(Q30=0,0,COUNT(Q30)))),"",IF(R30+Q30=0,0,VLOOKUP(N30,'Cal 2018'!$Q$1:$T$15,2,FALSE)*COUNT(R30)+VLOOKUP(N30,'Cal 2018'!$Q$1:$T$15,3,FALSE)*IF(Q30=0,0,COUNT(Q30))+VLOOKUP(N30,'Cal 2018'!$Q$1:$T$15,4,FALSE)*IF(Q30=0,0,COUNT(Q30))))</f>
        <v>0</v>
      </c>
      <c r="Z30" s="60"/>
      <c r="AA30" s="82">
        <f>IF(H30="","",IF(Z30&gt;0,VLOOKUP(LEFT(N30,5),'Cal 2018'!$U$1:$V$3,2,FALSE)*Z30,0))</f>
        <v>0</v>
      </c>
      <c r="AB30" s="60"/>
    </row>
    <row r="31" spans="4:28" ht="15">
      <c r="D31" s="66" t="str">
        <f t="shared" si="3"/>
        <v>201808</v>
      </c>
      <c r="E31" s="66" t="str">
        <f t="shared" si="4"/>
        <v>2018Q3</v>
      </c>
      <c r="F31" s="14">
        <f>IF(ISERROR(IF(F30+1&lt;VLOOKUP($G$22,'Cal 2018'!$G$1:$K$13,5,FALSE)+1,F30+1,"")),"",IF(F30+1&lt;VLOOKUP($G$22,'Cal 2018'!$G$1:$K$13,5,FALSE)+1,F30+1,""))</f>
        <v>43318</v>
      </c>
      <c r="G31" s="9" t="str">
        <f>IF(ISERROR(VLOOKUP(WEEKDAY(F31,2),'Cal 2018'!$N$18:$O$25,2,FALSE)),"",VLOOKUP(WEEKDAY(F31,2),'Cal 2018'!$N$18:$O$25,2,FALSE))</f>
        <v>Lundi</v>
      </c>
      <c r="H31" s="9" t="str">
        <f t="shared" si="0"/>
        <v>Semaine</v>
      </c>
      <c r="I31" s="69">
        <f>IF(ISERROR(1+INT(MIN(MOD(F31-DATE(YEAR(F31)+{-1;0;1},1,5)+WEEKDAY(DATE(YEAR(F31)+{-1;0;1},1,3)),734))/7)),"",1+INT(MIN(MOD(F31-DATE(YEAR(F31)+{-1;0;1},1,5)+WEEKDAY(DATE(YEAR(F31)+{-1;0;1},1,3)),734))/7))</f>
        <v>32</v>
      </c>
      <c r="J31" s="19">
        <f>IF(ISERROR(VLOOKUP(F31,'Cal 2018'!$B$2:$D$11,3,FALSE)),"",VLOOKUP(F31,'Cal 2018'!$B$2:$D$11,3,FALSE))</f>
      </c>
      <c r="K31" s="19">
        <f t="shared" si="5"/>
      </c>
      <c r="L31" s="19">
        <f t="shared" si="6"/>
      </c>
      <c r="M31" s="19">
        <f t="shared" si="7"/>
        <v>1</v>
      </c>
      <c r="N31" s="19">
        <f t="shared" si="1"/>
      </c>
      <c r="P31" s="83"/>
      <c r="Q31" s="85"/>
      <c r="R31" s="60"/>
      <c r="S31" s="60"/>
      <c r="T31" s="60"/>
      <c r="U31" s="60"/>
      <c r="V31" s="86"/>
      <c r="W31" s="84">
        <f t="shared" si="2"/>
        <v>0</v>
      </c>
      <c r="X31" s="82">
        <f t="shared" si="8"/>
        <v>0</v>
      </c>
      <c r="Y31" s="82">
        <f>IF(ISERROR(IF(R31+Q31=0,0,VLOOKUP(N31,'Cal 2018'!$Q$1:$T$15,2,FALSE)*COUNT(R31)+VLOOKUP(N31,'Cal 2018'!$Q$1:$T$15,3,FALSE)*IF(Q31=0,0,COUNT(Q31))+VLOOKUP(N31,'Cal 2018'!$Q$1:$T$15,4,FALSE)*IF(Q31=0,0,COUNT(Q31)))),"",IF(R31+Q31=0,0,VLOOKUP(N31,'Cal 2018'!$Q$1:$T$15,2,FALSE)*COUNT(R31)+VLOOKUP(N31,'Cal 2018'!$Q$1:$T$15,3,FALSE)*IF(Q31=0,0,COUNT(Q31))+VLOOKUP(N31,'Cal 2018'!$Q$1:$T$15,4,FALSE)*IF(Q31=0,0,COUNT(Q31))))</f>
        <v>0</v>
      </c>
      <c r="Z31" s="60"/>
      <c r="AA31" s="82">
        <f>IF(H31="","",IF(Z31&gt;0,VLOOKUP(LEFT(N31,5),'Cal 2018'!$U$1:$V$3,2,FALSE)*Z31,0))</f>
        <v>0</v>
      </c>
      <c r="AB31" s="60"/>
    </row>
    <row r="32" spans="4:28" ht="15">
      <c r="D32" s="66" t="str">
        <f t="shared" si="3"/>
        <v>201808</v>
      </c>
      <c r="E32" s="66" t="str">
        <f t="shared" si="4"/>
        <v>2018Q3</v>
      </c>
      <c r="F32" s="14">
        <f>IF(ISERROR(IF(F31+1&lt;VLOOKUP($G$22,'Cal 2018'!$G$1:$K$13,5,FALSE)+1,F31+1,"")),"",IF(F31+1&lt;VLOOKUP($G$22,'Cal 2018'!$G$1:$K$13,5,FALSE)+1,F31+1,""))</f>
        <v>43319</v>
      </c>
      <c r="G32" s="9" t="str">
        <f>IF(ISERROR(VLOOKUP(WEEKDAY(F32,2),'Cal 2018'!$N$18:$O$25,2,FALSE)),"",VLOOKUP(WEEKDAY(F32,2),'Cal 2018'!$N$18:$O$25,2,FALSE))</f>
        <v>Mardi</v>
      </c>
      <c r="H32" s="9" t="str">
        <f t="shared" si="0"/>
        <v>Semaine</v>
      </c>
      <c r="I32" s="69">
        <f>IF(ISERROR(1+INT(MIN(MOD(F32-DATE(YEAR(F32)+{-1;0;1},1,5)+WEEKDAY(DATE(YEAR(F32)+{-1;0;1},1,3)),734))/7)),"",1+INT(MIN(MOD(F32-DATE(YEAR(F32)+{-1;0;1},1,5)+WEEKDAY(DATE(YEAR(F32)+{-1;0;1},1,3)),734))/7))</f>
        <v>32</v>
      </c>
      <c r="J32" s="19">
        <f>IF(ISERROR(VLOOKUP(F32,'Cal 2018'!$B$2:$D$11,3,FALSE)),"",VLOOKUP(F32,'Cal 2018'!$B$2:$D$11,3,FALSE))</f>
      </c>
      <c r="K32" s="19">
        <f t="shared" si="5"/>
      </c>
      <c r="L32" s="19">
        <f t="shared" si="6"/>
      </c>
      <c r="M32" s="19">
        <f t="shared" si="7"/>
        <v>2</v>
      </c>
      <c r="N32" s="19">
        <f t="shared" si="1"/>
      </c>
      <c r="P32" s="83"/>
      <c r="Q32" s="85"/>
      <c r="R32" s="60"/>
      <c r="S32" s="60"/>
      <c r="T32" s="60"/>
      <c r="U32" s="60"/>
      <c r="V32" s="86"/>
      <c r="W32" s="84">
        <f t="shared" si="2"/>
        <v>0</v>
      </c>
      <c r="X32" s="82">
        <f t="shared" si="8"/>
        <v>0</v>
      </c>
      <c r="Y32" s="82">
        <f>IF(ISERROR(IF(R32+Q32=0,0,VLOOKUP(N32,'Cal 2018'!$Q$1:$T$15,2,FALSE)*COUNT(R32)+VLOOKUP(N32,'Cal 2018'!$Q$1:$T$15,3,FALSE)*IF(Q32=0,0,COUNT(Q32))+VLOOKUP(N32,'Cal 2018'!$Q$1:$T$15,4,FALSE)*IF(Q32=0,0,COUNT(Q32)))),"",IF(R32+Q32=0,0,VLOOKUP(N32,'Cal 2018'!$Q$1:$T$15,2,FALSE)*COUNT(R32)+VLOOKUP(N32,'Cal 2018'!$Q$1:$T$15,3,FALSE)*IF(Q32=0,0,COUNT(Q32))+VLOOKUP(N32,'Cal 2018'!$Q$1:$T$15,4,FALSE)*IF(Q32=0,0,COUNT(Q32))))</f>
        <v>0</v>
      </c>
      <c r="Z32" s="60"/>
      <c r="AA32" s="82">
        <f>IF(H32="","",IF(Z32&gt;0,VLOOKUP(LEFT(N32,5),'Cal 2018'!$U$1:$V$3,2,FALSE)*Z32,0))</f>
        <v>0</v>
      </c>
      <c r="AB32" s="60"/>
    </row>
    <row r="33" spans="4:28" ht="15">
      <c r="D33" s="66" t="str">
        <f t="shared" si="3"/>
        <v>201808</v>
      </c>
      <c r="E33" s="66" t="str">
        <f t="shared" si="4"/>
        <v>2018Q3</v>
      </c>
      <c r="F33" s="14">
        <f>IF(ISERROR(IF(F32+1&lt;VLOOKUP($G$22,'Cal 2018'!$G$1:$K$13,5,FALSE)+1,F32+1,"")),"",IF(F32+1&lt;VLOOKUP($G$22,'Cal 2018'!$G$1:$K$13,5,FALSE)+1,F32+1,""))</f>
        <v>43320</v>
      </c>
      <c r="G33" s="9" t="str">
        <f>IF(ISERROR(VLOOKUP(WEEKDAY(F33,2),'Cal 2018'!$N$18:$O$25,2,FALSE)),"",VLOOKUP(WEEKDAY(F33,2),'Cal 2018'!$N$18:$O$25,2,FALSE))</f>
        <v>Mercredi</v>
      </c>
      <c r="H33" s="9" t="str">
        <f t="shared" si="0"/>
        <v>Semaine</v>
      </c>
      <c r="I33" s="69">
        <f>IF(ISERROR(1+INT(MIN(MOD(F33-DATE(YEAR(F33)+{-1;0;1},1,5)+WEEKDAY(DATE(YEAR(F33)+{-1;0;1},1,3)),734))/7)),"",1+INT(MIN(MOD(F33-DATE(YEAR(F33)+{-1;0;1},1,5)+WEEKDAY(DATE(YEAR(F33)+{-1;0;1},1,3)),734))/7))</f>
        <v>32</v>
      </c>
      <c r="J33" s="19">
        <f>IF(ISERROR(VLOOKUP(F33,'Cal 2018'!$B$2:$D$11,3,FALSE)),"",VLOOKUP(F33,'Cal 2018'!$B$2:$D$11,3,FALSE))</f>
      </c>
      <c r="K33" s="19">
        <f t="shared" si="5"/>
      </c>
      <c r="L33" s="19">
        <f t="shared" si="6"/>
      </c>
      <c r="M33" s="19">
        <f t="shared" si="7"/>
        <v>3</v>
      </c>
      <c r="N33" s="19">
        <f t="shared" si="1"/>
      </c>
      <c r="P33" s="83"/>
      <c r="Q33" s="85"/>
      <c r="R33" s="60"/>
      <c r="S33" s="60"/>
      <c r="T33" s="60"/>
      <c r="U33" s="60"/>
      <c r="V33" s="86"/>
      <c r="W33" s="84">
        <f t="shared" si="2"/>
        <v>0</v>
      </c>
      <c r="X33" s="82">
        <f t="shared" si="8"/>
        <v>0</v>
      </c>
      <c r="Y33" s="82">
        <f>IF(ISERROR(IF(R33+Q33=0,0,VLOOKUP(N33,'Cal 2018'!$Q$1:$T$15,2,FALSE)*COUNT(R33)+VLOOKUP(N33,'Cal 2018'!$Q$1:$T$15,3,FALSE)*IF(Q33=0,0,COUNT(Q33))+VLOOKUP(N33,'Cal 2018'!$Q$1:$T$15,4,FALSE)*IF(Q33=0,0,COUNT(Q33)))),"",IF(R33+Q33=0,0,VLOOKUP(N33,'Cal 2018'!$Q$1:$T$15,2,FALSE)*COUNT(R33)+VLOOKUP(N33,'Cal 2018'!$Q$1:$T$15,3,FALSE)*IF(Q33=0,0,COUNT(Q33))+VLOOKUP(N33,'Cal 2018'!$Q$1:$T$15,4,FALSE)*IF(Q33=0,0,COUNT(Q33))))</f>
        <v>0</v>
      </c>
      <c r="Z33" s="60"/>
      <c r="AA33" s="82">
        <f>IF(H33="","",IF(Z33&gt;0,VLOOKUP(LEFT(N33,5),'Cal 2018'!$U$1:$V$3,2,FALSE)*Z33,0))</f>
        <v>0</v>
      </c>
      <c r="AB33" s="60"/>
    </row>
    <row r="34" spans="4:28" ht="15">
      <c r="D34" s="66" t="str">
        <f t="shared" si="3"/>
        <v>201808</v>
      </c>
      <c r="E34" s="66" t="str">
        <f t="shared" si="4"/>
        <v>2018Q3</v>
      </c>
      <c r="F34" s="14">
        <f>IF(ISERROR(IF(F33+1&lt;VLOOKUP($G$22,'Cal 2018'!$G$1:$K$13,5,FALSE)+1,F33+1,"")),"",IF(F33+1&lt;VLOOKUP($G$22,'Cal 2018'!$G$1:$K$13,5,FALSE)+1,F33+1,""))</f>
        <v>43321</v>
      </c>
      <c r="G34" s="9" t="str">
        <f>IF(ISERROR(VLOOKUP(WEEKDAY(F34,2),'Cal 2018'!$N$18:$O$25,2,FALSE)),"",VLOOKUP(WEEKDAY(F34,2),'Cal 2018'!$N$18:$O$25,2,FALSE))</f>
        <v>Jeudi</v>
      </c>
      <c r="H34" s="9" t="str">
        <f t="shared" si="0"/>
        <v>Semaine</v>
      </c>
      <c r="I34" s="69">
        <f>IF(ISERROR(1+INT(MIN(MOD(F34-DATE(YEAR(F34)+{-1;0;1},1,5)+WEEKDAY(DATE(YEAR(F34)+{-1;0;1},1,3)),734))/7)),"",1+INT(MIN(MOD(F34-DATE(YEAR(F34)+{-1;0;1},1,5)+WEEKDAY(DATE(YEAR(F34)+{-1;0;1},1,3)),734))/7))</f>
        <v>32</v>
      </c>
      <c r="J34" s="19">
        <f>IF(ISERROR(VLOOKUP(F34,'Cal 2018'!$B$2:$D$11,3,FALSE)),"",VLOOKUP(F34,'Cal 2018'!$B$2:$D$11,3,FALSE))</f>
      </c>
      <c r="K34" s="19">
        <f t="shared" si="5"/>
      </c>
      <c r="L34" s="19">
        <f t="shared" si="6"/>
      </c>
      <c r="M34" s="19">
        <f t="shared" si="7"/>
        <v>4</v>
      </c>
      <c r="N34" s="19">
        <f t="shared" si="1"/>
      </c>
      <c r="P34" s="83"/>
      <c r="Q34" s="85"/>
      <c r="R34" s="60"/>
      <c r="S34" s="60"/>
      <c r="T34" s="60"/>
      <c r="U34" s="60"/>
      <c r="V34" s="86"/>
      <c r="W34" s="84">
        <f t="shared" si="2"/>
        <v>0</v>
      </c>
      <c r="X34" s="82">
        <f t="shared" si="8"/>
        <v>0</v>
      </c>
      <c r="Y34" s="82">
        <f>IF(ISERROR(IF(R34+Q34=0,0,VLOOKUP(N34,'Cal 2018'!$Q$1:$T$15,2,FALSE)*COUNT(R34)+VLOOKUP(N34,'Cal 2018'!$Q$1:$T$15,3,FALSE)*IF(Q34=0,0,COUNT(Q34))+VLOOKUP(N34,'Cal 2018'!$Q$1:$T$15,4,FALSE)*IF(Q34=0,0,COUNT(Q34)))),"",IF(R34+Q34=0,0,VLOOKUP(N34,'Cal 2018'!$Q$1:$T$15,2,FALSE)*COUNT(R34)+VLOOKUP(N34,'Cal 2018'!$Q$1:$T$15,3,FALSE)*IF(Q34=0,0,COUNT(Q34))+VLOOKUP(N34,'Cal 2018'!$Q$1:$T$15,4,FALSE)*IF(Q34=0,0,COUNT(Q34))))</f>
        <v>0</v>
      </c>
      <c r="Z34" s="60"/>
      <c r="AA34" s="82">
        <f>IF(H34="","",IF(Z34&gt;0,VLOOKUP(LEFT(N34,5),'Cal 2018'!$U$1:$V$3,2,FALSE)*Z34,0))</f>
        <v>0</v>
      </c>
      <c r="AB34" s="60"/>
    </row>
    <row r="35" spans="4:28" ht="15">
      <c r="D35" s="66" t="str">
        <f t="shared" si="3"/>
        <v>201808</v>
      </c>
      <c r="E35" s="66" t="str">
        <f t="shared" si="4"/>
        <v>2018Q3</v>
      </c>
      <c r="F35" s="14">
        <f>IF(ISERROR(IF(F34+1&lt;VLOOKUP($G$22,'Cal 2018'!$G$1:$K$13,5,FALSE)+1,F34+1,"")),"",IF(F34+1&lt;VLOOKUP($G$22,'Cal 2018'!$G$1:$K$13,5,FALSE)+1,F34+1,""))</f>
        <v>43322</v>
      </c>
      <c r="G35" s="9" t="str">
        <f>IF(ISERROR(VLOOKUP(WEEKDAY(F35,2),'Cal 2018'!$N$18:$O$25,2,FALSE)),"",VLOOKUP(WEEKDAY(F35,2),'Cal 2018'!$N$18:$O$25,2,FALSE))</f>
        <v>Vendredi</v>
      </c>
      <c r="H35" s="9" t="str">
        <f t="shared" si="0"/>
        <v>Semaine</v>
      </c>
      <c r="I35" s="69">
        <f>IF(ISERROR(1+INT(MIN(MOD(F35-DATE(YEAR(F35)+{-1;0;1},1,5)+WEEKDAY(DATE(YEAR(F35)+{-1;0;1},1,3)),734))/7)),"",1+INT(MIN(MOD(F35-DATE(YEAR(F35)+{-1;0;1},1,5)+WEEKDAY(DATE(YEAR(F35)+{-1;0;1},1,3)),734))/7))</f>
        <v>32</v>
      </c>
      <c r="J35" s="19">
        <f>IF(ISERROR(VLOOKUP(F35,'Cal 2018'!$B$2:$D$11,3,FALSE)),"",VLOOKUP(F35,'Cal 2018'!$B$2:$D$11,3,FALSE))</f>
      </c>
      <c r="K35" s="19">
        <f t="shared" si="5"/>
      </c>
      <c r="L35" s="19">
        <f t="shared" si="6"/>
      </c>
      <c r="M35" s="19">
        <f t="shared" si="7"/>
        <v>5</v>
      </c>
      <c r="N35" s="19">
        <f t="shared" si="1"/>
      </c>
      <c r="P35" s="83"/>
      <c r="Q35" s="85"/>
      <c r="R35" s="60"/>
      <c r="S35" s="60"/>
      <c r="T35" s="60"/>
      <c r="U35" s="60"/>
      <c r="V35" s="86"/>
      <c r="W35" s="84">
        <f t="shared" si="2"/>
        <v>0</v>
      </c>
      <c r="X35" s="82">
        <f t="shared" si="8"/>
        <v>0</v>
      </c>
      <c r="Y35" s="82">
        <f>IF(ISERROR(IF(R35+Q35=0,0,VLOOKUP(N35,'Cal 2018'!$Q$1:$T$15,2,FALSE)*COUNT(R35)+VLOOKUP(N35,'Cal 2018'!$Q$1:$T$15,3,FALSE)*IF(Q35=0,0,COUNT(Q35))+VLOOKUP(N35,'Cal 2018'!$Q$1:$T$15,4,FALSE)*IF(Q35=0,0,COUNT(Q35)))),"",IF(R35+Q35=0,0,VLOOKUP(N35,'Cal 2018'!$Q$1:$T$15,2,FALSE)*COUNT(R35)+VLOOKUP(N35,'Cal 2018'!$Q$1:$T$15,3,FALSE)*IF(Q35=0,0,COUNT(Q35))+VLOOKUP(N35,'Cal 2018'!$Q$1:$T$15,4,FALSE)*IF(Q35=0,0,COUNT(Q35))))</f>
        <v>0</v>
      </c>
      <c r="Z35" s="60"/>
      <c r="AA35" s="82">
        <f>IF(H35="","",IF(Z35&gt;0,VLOOKUP(LEFT(N35,5),'Cal 2018'!$U$1:$V$3,2,FALSE)*Z35,0))</f>
        <v>0</v>
      </c>
      <c r="AB35" s="60"/>
    </row>
    <row r="36" spans="4:28" ht="15">
      <c r="D36" s="66" t="str">
        <f t="shared" si="3"/>
        <v>201808</v>
      </c>
      <c r="E36" s="66" t="str">
        <f t="shared" si="4"/>
        <v>2018Q3</v>
      </c>
      <c r="F36" s="14">
        <f>IF(ISERROR(IF(F35+1&lt;VLOOKUP($G$22,'Cal 2018'!$G$1:$K$13,5,FALSE)+1,F35+1,"")),"",IF(F35+1&lt;VLOOKUP($G$22,'Cal 2018'!$G$1:$K$13,5,FALSE)+1,F35+1,""))</f>
        <v>43323</v>
      </c>
      <c r="G36" s="9" t="str">
        <f>IF(ISERROR(VLOOKUP(WEEKDAY(F36,2),'Cal 2018'!$N$18:$O$25,2,FALSE)),"",VLOOKUP(WEEKDAY(F36,2),'Cal 2018'!$N$18:$O$25,2,FALSE))</f>
        <v>Samedi</v>
      </c>
      <c r="H36" s="9" t="str">
        <f t="shared" si="0"/>
        <v>Samedi</v>
      </c>
      <c r="I36" s="69">
        <f>IF(ISERROR(1+INT(MIN(MOD(F36-DATE(YEAR(F36)+{-1;0;1},1,5)+WEEKDAY(DATE(YEAR(F36)+{-1;0;1},1,3)),734))/7)),"",1+INT(MIN(MOD(F36-DATE(YEAR(F36)+{-1;0;1},1,5)+WEEKDAY(DATE(YEAR(F36)+{-1;0;1},1,3)),734))/7))</f>
        <v>32</v>
      </c>
      <c r="J36" s="19">
        <f>IF(ISERROR(VLOOKUP(F36,'Cal 2018'!$B$2:$D$11,3,FALSE)),"",VLOOKUP(F36,'Cal 2018'!$B$2:$D$11,3,FALSE))</f>
      </c>
      <c r="K36" s="19" t="str">
        <f t="shared" si="5"/>
        <v>Samedi</v>
      </c>
      <c r="L36" s="19">
        <f t="shared" si="6"/>
      </c>
      <c r="M36" s="19">
        <f t="shared" si="7"/>
        <v>6</v>
      </c>
      <c r="N36" s="19">
        <f t="shared" si="1"/>
      </c>
      <c r="P36" s="83"/>
      <c r="Q36" s="85"/>
      <c r="R36" s="60"/>
      <c r="S36" s="60"/>
      <c r="T36" s="60"/>
      <c r="U36" s="60"/>
      <c r="V36" s="86"/>
      <c r="W36" s="84">
        <f t="shared" si="2"/>
        <v>0</v>
      </c>
      <c r="X36" s="82">
        <f t="shared" si="8"/>
        <v>0</v>
      </c>
      <c r="Y36" s="82">
        <f>IF(ISERROR(IF(R36+Q36=0,0,VLOOKUP(N36,'Cal 2018'!$Q$1:$T$15,2,FALSE)*COUNT(R36)+VLOOKUP(N36,'Cal 2018'!$Q$1:$T$15,3,FALSE)*IF(Q36=0,0,COUNT(Q36))+VLOOKUP(N36,'Cal 2018'!$Q$1:$T$15,4,FALSE)*IF(Q36=0,0,COUNT(Q36)))),"",IF(R36+Q36=0,0,VLOOKUP(N36,'Cal 2018'!$Q$1:$T$15,2,FALSE)*COUNT(R36)+VLOOKUP(N36,'Cal 2018'!$Q$1:$T$15,3,FALSE)*IF(Q36=0,0,COUNT(Q36))+VLOOKUP(N36,'Cal 2018'!$Q$1:$T$15,4,FALSE)*IF(Q36=0,0,COUNT(Q36))))</f>
        <v>0</v>
      </c>
      <c r="Z36" s="60"/>
      <c r="AA36" s="82">
        <f>IF(H36="","",IF(Z36&gt;0,VLOOKUP(LEFT(N36,5),'Cal 2018'!$U$1:$V$3,2,FALSE)*Z36,0))</f>
        <v>0</v>
      </c>
      <c r="AB36" s="60"/>
    </row>
    <row r="37" spans="4:28" ht="15">
      <c r="D37" s="66" t="str">
        <f t="shared" si="3"/>
        <v>201808</v>
      </c>
      <c r="E37" s="66" t="str">
        <f t="shared" si="4"/>
        <v>2018Q3</v>
      </c>
      <c r="F37" s="14">
        <f>IF(ISERROR(IF(F36+1&lt;VLOOKUP($G$22,'Cal 2018'!$G$1:$K$13,5,FALSE)+1,F36+1,"")),"",IF(F36+1&lt;VLOOKUP($G$22,'Cal 2018'!$G$1:$K$13,5,FALSE)+1,F36+1,""))</f>
        <v>43324</v>
      </c>
      <c r="G37" s="9" t="str">
        <f>IF(ISERROR(VLOOKUP(WEEKDAY(F37,2),'Cal 2018'!$N$18:$O$25,2,FALSE)),"",VLOOKUP(WEEKDAY(F37,2),'Cal 2018'!$N$18:$O$25,2,FALSE))</f>
        <v>Dimanche</v>
      </c>
      <c r="H37" s="9" t="str">
        <f t="shared" si="0"/>
        <v>Dimanche</v>
      </c>
      <c r="I37" s="69">
        <f>IF(ISERROR(1+INT(MIN(MOD(F37-DATE(YEAR(F37)+{-1;0;1},1,5)+WEEKDAY(DATE(YEAR(F37)+{-1;0;1},1,3)),734))/7)),"",1+INT(MIN(MOD(F37-DATE(YEAR(F37)+{-1;0;1},1,5)+WEEKDAY(DATE(YEAR(F37)+{-1;0;1},1,3)),734))/7))</f>
        <v>32</v>
      </c>
      <c r="J37" s="19">
        <f>IF(ISERROR(VLOOKUP(F37,'Cal 2018'!$B$2:$D$11,3,FALSE)),"",VLOOKUP(F37,'Cal 2018'!$B$2:$D$11,3,FALSE))</f>
      </c>
      <c r="K37" s="19">
        <f t="shared" si="5"/>
      </c>
      <c r="L37" s="19" t="str">
        <f t="shared" si="6"/>
        <v>Dimanche</v>
      </c>
      <c r="M37" s="19">
        <f t="shared" si="7"/>
        <v>7</v>
      </c>
      <c r="N37" s="19">
        <f t="shared" si="1"/>
      </c>
      <c r="P37" s="83"/>
      <c r="Q37" s="85"/>
      <c r="R37" s="60"/>
      <c r="S37" s="60"/>
      <c r="T37" s="60"/>
      <c r="U37" s="60"/>
      <c r="V37" s="86"/>
      <c r="W37" s="84">
        <f t="shared" si="2"/>
        <v>0</v>
      </c>
      <c r="X37" s="82">
        <f t="shared" si="8"/>
        <v>0</v>
      </c>
      <c r="Y37" s="82">
        <f>IF(ISERROR(IF(R37+Q37=0,0,VLOOKUP(N37,'Cal 2018'!$Q$1:$T$15,2,FALSE)*COUNT(R37)+VLOOKUP(N37,'Cal 2018'!$Q$1:$T$15,3,FALSE)*IF(Q37=0,0,COUNT(Q37))+VLOOKUP(N37,'Cal 2018'!$Q$1:$T$15,4,FALSE)*IF(Q37=0,0,COUNT(Q37)))),"",IF(R37+Q37=0,0,VLOOKUP(N37,'Cal 2018'!$Q$1:$T$15,2,FALSE)*COUNT(R37)+VLOOKUP(N37,'Cal 2018'!$Q$1:$T$15,3,FALSE)*IF(Q37=0,0,COUNT(Q37))+VLOOKUP(N37,'Cal 2018'!$Q$1:$T$15,4,FALSE)*IF(Q37=0,0,COUNT(Q37))))</f>
        <v>0</v>
      </c>
      <c r="Z37" s="60"/>
      <c r="AA37" s="82">
        <f>IF(H37="","",IF(Z37&gt;0,VLOOKUP(LEFT(N37,5),'Cal 2018'!$U$1:$V$3,2,FALSE)*Z37,0))</f>
        <v>0</v>
      </c>
      <c r="AB37" s="60"/>
    </row>
    <row r="38" spans="4:28" ht="15">
      <c r="D38" s="66" t="str">
        <f t="shared" si="3"/>
        <v>201808</v>
      </c>
      <c r="E38" s="66" t="str">
        <f t="shared" si="4"/>
        <v>2018Q3</v>
      </c>
      <c r="F38" s="14">
        <f>IF(ISERROR(IF(F37+1&lt;VLOOKUP($G$22,'Cal 2018'!$G$1:$K$13,5,FALSE)+1,F37+1,"")),"",IF(F37+1&lt;VLOOKUP($G$22,'Cal 2018'!$G$1:$K$13,5,FALSE)+1,F37+1,""))</f>
        <v>43325</v>
      </c>
      <c r="G38" s="9" t="str">
        <f>IF(ISERROR(VLOOKUP(WEEKDAY(F38,2),'Cal 2018'!$N$18:$O$25,2,FALSE)),"",VLOOKUP(WEEKDAY(F38,2),'Cal 2018'!$N$18:$O$25,2,FALSE))</f>
        <v>Lundi</v>
      </c>
      <c r="H38" s="9" t="str">
        <f t="shared" si="0"/>
        <v>Semaine</v>
      </c>
      <c r="I38" s="69">
        <f>IF(ISERROR(1+INT(MIN(MOD(F38-DATE(YEAR(F38)+{-1;0;1},1,5)+WEEKDAY(DATE(YEAR(F38)+{-1;0;1},1,3)),734))/7)),"",1+INT(MIN(MOD(F38-DATE(YEAR(F38)+{-1;0;1},1,5)+WEEKDAY(DATE(YEAR(F38)+{-1;0;1},1,3)),734))/7))</f>
        <v>33</v>
      </c>
      <c r="J38" s="19">
        <f>IF(ISERROR(VLOOKUP(F38,'Cal 2018'!$B$2:$D$11,3,FALSE)),"",VLOOKUP(F38,'Cal 2018'!$B$2:$D$11,3,FALSE))</f>
      </c>
      <c r="K38" s="19">
        <f t="shared" si="5"/>
      </c>
      <c r="L38" s="19">
        <f t="shared" si="6"/>
      </c>
      <c r="M38" s="19">
        <f t="shared" si="7"/>
        <v>1</v>
      </c>
      <c r="N38" s="19">
        <f t="shared" si="1"/>
      </c>
      <c r="P38" s="83"/>
      <c r="Q38" s="85"/>
      <c r="R38" s="60"/>
      <c r="S38" s="60"/>
      <c r="T38" s="60"/>
      <c r="U38" s="60"/>
      <c r="V38" s="86"/>
      <c r="W38" s="84">
        <f t="shared" si="2"/>
        <v>0</v>
      </c>
      <c r="X38" s="82">
        <f t="shared" si="8"/>
        <v>0</v>
      </c>
      <c r="Y38" s="82">
        <f>IF(ISERROR(IF(R38+Q38=0,0,VLOOKUP(N38,'Cal 2018'!$Q$1:$T$15,2,FALSE)*COUNT(R38)+VLOOKUP(N38,'Cal 2018'!$Q$1:$T$15,3,FALSE)*IF(Q38=0,0,COUNT(Q38))+VLOOKUP(N38,'Cal 2018'!$Q$1:$T$15,4,FALSE)*IF(Q38=0,0,COUNT(Q38)))),"",IF(R38+Q38=0,0,VLOOKUP(N38,'Cal 2018'!$Q$1:$T$15,2,FALSE)*COUNT(R38)+VLOOKUP(N38,'Cal 2018'!$Q$1:$T$15,3,FALSE)*IF(Q38=0,0,COUNT(Q38))+VLOOKUP(N38,'Cal 2018'!$Q$1:$T$15,4,FALSE)*IF(Q38=0,0,COUNT(Q38))))</f>
        <v>0</v>
      </c>
      <c r="Z38" s="60"/>
      <c r="AA38" s="82">
        <f>IF(H38="","",IF(Z38&gt;0,VLOOKUP(LEFT(N38,5),'Cal 2018'!$U$1:$V$3,2,FALSE)*Z38,0))</f>
        <v>0</v>
      </c>
      <c r="AB38" s="60"/>
    </row>
    <row r="39" spans="4:28" ht="15">
      <c r="D39" s="66" t="str">
        <f t="shared" si="3"/>
        <v>201808</v>
      </c>
      <c r="E39" s="66" t="str">
        <f t="shared" si="4"/>
        <v>2018Q3</v>
      </c>
      <c r="F39" s="14">
        <f>IF(ISERROR(IF(F38+1&lt;VLOOKUP($G$22,'Cal 2018'!$G$1:$K$13,5,FALSE)+1,F38+1,"")),"",IF(F38+1&lt;VLOOKUP($G$22,'Cal 2018'!$G$1:$K$13,5,FALSE)+1,F38+1,""))</f>
        <v>43326</v>
      </c>
      <c r="G39" s="9" t="str">
        <f>IF(ISERROR(VLOOKUP(WEEKDAY(F39,2),'Cal 2018'!$N$18:$O$25,2,FALSE)),"",VLOOKUP(WEEKDAY(F39,2),'Cal 2018'!$N$18:$O$25,2,FALSE))</f>
        <v>Mardi</v>
      </c>
      <c r="H39" s="9" t="str">
        <f t="shared" si="0"/>
        <v>Semaine</v>
      </c>
      <c r="I39" s="69">
        <f>IF(ISERROR(1+INT(MIN(MOD(F39-DATE(YEAR(F39)+{-1;0;1},1,5)+WEEKDAY(DATE(YEAR(F39)+{-1;0;1},1,3)),734))/7)),"",1+INT(MIN(MOD(F39-DATE(YEAR(F39)+{-1;0;1},1,5)+WEEKDAY(DATE(YEAR(F39)+{-1;0;1},1,3)),734))/7))</f>
        <v>33</v>
      </c>
      <c r="J39" s="19">
        <f>IF(ISERROR(VLOOKUP(F39,'Cal 2018'!$B$2:$D$11,3,FALSE)),"",VLOOKUP(F39,'Cal 2018'!$B$2:$D$11,3,FALSE))</f>
      </c>
      <c r="K39" s="19">
        <f t="shared" si="5"/>
      </c>
      <c r="L39" s="19">
        <f t="shared" si="6"/>
      </c>
      <c r="M39" s="19">
        <f t="shared" si="7"/>
        <v>2</v>
      </c>
      <c r="N39" s="19">
        <f t="shared" si="1"/>
      </c>
      <c r="P39" s="83"/>
      <c r="Q39" s="85"/>
      <c r="R39" s="60"/>
      <c r="S39" s="60"/>
      <c r="T39" s="60"/>
      <c r="U39" s="60"/>
      <c r="V39" s="86"/>
      <c r="W39" s="84">
        <f t="shared" si="2"/>
        <v>0</v>
      </c>
      <c r="X39" s="82">
        <f t="shared" si="8"/>
        <v>0</v>
      </c>
      <c r="Y39" s="82">
        <f>IF(ISERROR(IF(R39+Q39=0,0,VLOOKUP(N39,'Cal 2018'!$Q$1:$T$15,2,FALSE)*COUNT(R39)+VLOOKUP(N39,'Cal 2018'!$Q$1:$T$15,3,FALSE)*IF(Q39=0,0,COUNT(Q39))+VLOOKUP(N39,'Cal 2018'!$Q$1:$T$15,4,FALSE)*IF(Q39=0,0,COUNT(Q39)))),"",IF(R39+Q39=0,0,VLOOKUP(N39,'Cal 2018'!$Q$1:$T$15,2,FALSE)*COUNT(R39)+VLOOKUP(N39,'Cal 2018'!$Q$1:$T$15,3,FALSE)*IF(Q39=0,0,COUNT(Q39))+VLOOKUP(N39,'Cal 2018'!$Q$1:$T$15,4,FALSE)*IF(Q39=0,0,COUNT(Q39))))</f>
        <v>0</v>
      </c>
      <c r="Z39" s="60"/>
      <c r="AA39" s="82">
        <f>IF(H39="","",IF(Z39&gt;0,VLOOKUP(LEFT(N39,5),'Cal 2018'!$U$1:$V$3,2,FALSE)*Z39,0))</f>
        <v>0</v>
      </c>
      <c r="AB39" s="60"/>
    </row>
    <row r="40" spans="4:28" ht="15">
      <c r="D40" s="66" t="str">
        <f t="shared" si="3"/>
        <v>201808</v>
      </c>
      <c r="E40" s="66" t="str">
        <f t="shared" si="4"/>
        <v>2018Q3</v>
      </c>
      <c r="F40" s="14">
        <f>IF(ISERROR(IF(F39+1&lt;VLOOKUP($G$22,'Cal 2018'!$G$1:$K$13,5,FALSE)+1,F39+1,"")),"",IF(F39+1&lt;VLOOKUP($G$22,'Cal 2018'!$G$1:$K$13,5,FALSE)+1,F39+1,""))</f>
        <v>43327</v>
      </c>
      <c r="G40" s="9" t="str">
        <f>IF(ISERROR(VLOOKUP(WEEKDAY(F40,2),'Cal 2018'!$N$18:$O$25,2,FALSE)),"",VLOOKUP(WEEKDAY(F40,2),'Cal 2018'!$N$18:$O$25,2,FALSE))</f>
        <v>Mercredi</v>
      </c>
      <c r="H40" s="9" t="str">
        <f t="shared" si="0"/>
        <v>Férié</v>
      </c>
      <c r="I40" s="69">
        <f>IF(ISERROR(1+INT(MIN(MOD(F40-DATE(YEAR(F40)+{-1;0;1},1,5)+WEEKDAY(DATE(YEAR(F40)+{-1;0;1},1,3)),734))/7)),"",1+INT(MIN(MOD(F40-DATE(YEAR(F40)+{-1;0;1},1,5)+WEEKDAY(DATE(YEAR(F40)+{-1;0;1},1,3)),734))/7))</f>
        <v>33</v>
      </c>
      <c r="J40" s="19" t="str">
        <f>IF(ISERROR(VLOOKUP(F40,'Cal 2018'!$B$2:$D$11,3,FALSE)),"",VLOOKUP(F40,'Cal 2018'!$B$2:$D$11,3,FALSE))</f>
        <v>Férié</v>
      </c>
      <c r="K40" s="19">
        <f t="shared" si="5"/>
      </c>
      <c r="L40" s="19">
        <f t="shared" si="6"/>
      </c>
      <c r="M40" s="19">
        <f t="shared" si="7"/>
        <v>3</v>
      </c>
      <c r="N40" s="19">
        <f t="shared" si="1"/>
      </c>
      <c r="P40" s="83"/>
      <c r="Q40" s="85"/>
      <c r="R40" s="60"/>
      <c r="S40" s="60"/>
      <c r="T40" s="60"/>
      <c r="U40" s="60"/>
      <c r="V40" s="86"/>
      <c r="W40" s="84">
        <f t="shared" si="2"/>
        <v>0</v>
      </c>
      <c r="X40" s="82">
        <f t="shared" si="8"/>
        <v>0</v>
      </c>
      <c r="Y40" s="82">
        <f>IF(ISERROR(IF(R40+Q40=0,0,VLOOKUP(N40,'Cal 2018'!$Q$1:$T$15,2,FALSE)*COUNT(R40)+VLOOKUP(N40,'Cal 2018'!$Q$1:$T$15,3,FALSE)*IF(Q40=0,0,COUNT(Q40))+VLOOKUP(N40,'Cal 2018'!$Q$1:$T$15,4,FALSE)*IF(Q40=0,0,COUNT(Q40)))),"",IF(R40+Q40=0,0,VLOOKUP(N40,'Cal 2018'!$Q$1:$T$15,2,FALSE)*COUNT(R40)+VLOOKUP(N40,'Cal 2018'!$Q$1:$T$15,3,FALSE)*IF(Q40=0,0,COUNT(Q40))+VLOOKUP(N40,'Cal 2018'!$Q$1:$T$15,4,FALSE)*IF(Q40=0,0,COUNT(Q40))))</f>
        <v>0</v>
      </c>
      <c r="Z40" s="60"/>
      <c r="AA40" s="82">
        <f>IF(H40="","",IF(Z40&gt;0,VLOOKUP(LEFT(N40,5),'Cal 2018'!$U$1:$V$3,2,FALSE)*Z40,0))</f>
        <v>0</v>
      </c>
      <c r="AB40" s="60"/>
    </row>
    <row r="41" spans="4:28" ht="15">
      <c r="D41" s="66" t="str">
        <f t="shared" si="3"/>
        <v>201808</v>
      </c>
      <c r="E41" s="66" t="str">
        <f t="shared" si="4"/>
        <v>2018Q3</v>
      </c>
      <c r="F41" s="14">
        <f>IF(ISERROR(IF(F40+1&lt;VLOOKUP($G$22,'Cal 2018'!$G$1:$K$13,5,FALSE)+1,F40+1,"")),"",IF(F40+1&lt;VLOOKUP($G$22,'Cal 2018'!$G$1:$K$13,5,FALSE)+1,F40+1,""))</f>
        <v>43328</v>
      </c>
      <c r="G41" s="9" t="str">
        <f>IF(ISERROR(VLOOKUP(WEEKDAY(F41,2),'Cal 2018'!$N$18:$O$25,2,FALSE)),"",VLOOKUP(WEEKDAY(F41,2),'Cal 2018'!$N$18:$O$25,2,FALSE))</f>
        <v>Jeudi</v>
      </c>
      <c r="H41" s="9" t="str">
        <f t="shared" si="0"/>
        <v>Semaine</v>
      </c>
      <c r="I41" s="69">
        <f>IF(ISERROR(1+INT(MIN(MOD(F41-DATE(YEAR(F41)+{-1;0;1},1,5)+WEEKDAY(DATE(YEAR(F41)+{-1;0;1},1,3)),734))/7)),"",1+INT(MIN(MOD(F41-DATE(YEAR(F41)+{-1;0;1},1,5)+WEEKDAY(DATE(YEAR(F41)+{-1;0;1},1,3)),734))/7))</f>
        <v>33</v>
      </c>
      <c r="J41" s="19">
        <f>IF(ISERROR(VLOOKUP(F41,'Cal 2018'!$B$2:$D$11,3,FALSE)),"",VLOOKUP(F41,'Cal 2018'!$B$2:$D$11,3,FALSE))</f>
      </c>
      <c r="K41" s="19">
        <f t="shared" si="5"/>
      </c>
      <c r="L41" s="19">
        <f t="shared" si="6"/>
      </c>
      <c r="M41" s="19">
        <f t="shared" si="7"/>
        <v>4</v>
      </c>
      <c r="N41" s="19">
        <f t="shared" si="1"/>
      </c>
      <c r="P41" s="83"/>
      <c r="Q41" s="85"/>
      <c r="R41" s="60"/>
      <c r="S41" s="60"/>
      <c r="T41" s="60"/>
      <c r="U41" s="60"/>
      <c r="V41" s="86"/>
      <c r="W41" s="84">
        <f t="shared" si="2"/>
        <v>0</v>
      </c>
      <c r="X41" s="82">
        <f t="shared" si="8"/>
        <v>0</v>
      </c>
      <c r="Y41" s="82">
        <f>IF(ISERROR(IF(R41+Q41=0,0,VLOOKUP(N41,'Cal 2018'!$Q$1:$T$15,2,FALSE)*COUNT(R41)+VLOOKUP(N41,'Cal 2018'!$Q$1:$T$15,3,FALSE)*IF(Q41=0,0,COUNT(Q41))+VLOOKUP(N41,'Cal 2018'!$Q$1:$T$15,4,FALSE)*IF(Q41=0,0,COUNT(Q41)))),"",IF(R41+Q41=0,0,VLOOKUP(N41,'Cal 2018'!$Q$1:$T$15,2,FALSE)*COUNT(R41)+VLOOKUP(N41,'Cal 2018'!$Q$1:$T$15,3,FALSE)*IF(Q41=0,0,COUNT(Q41))+VLOOKUP(N41,'Cal 2018'!$Q$1:$T$15,4,FALSE)*IF(Q41=0,0,COUNT(Q41))))</f>
        <v>0</v>
      </c>
      <c r="Z41" s="60"/>
      <c r="AA41" s="82">
        <f>IF(H41="","",IF(Z41&gt;0,VLOOKUP(LEFT(N41,5),'Cal 2018'!$U$1:$V$3,2,FALSE)*Z41,0))</f>
        <v>0</v>
      </c>
      <c r="AB41" s="60"/>
    </row>
    <row r="42" spans="4:28" ht="15">
      <c r="D42" s="66" t="str">
        <f t="shared" si="3"/>
        <v>201808</v>
      </c>
      <c r="E42" s="66" t="str">
        <f t="shared" si="4"/>
        <v>2018Q3</v>
      </c>
      <c r="F42" s="14">
        <f>IF(ISERROR(IF(F41+1&lt;VLOOKUP($G$22,'Cal 2018'!$G$1:$K$13,5,FALSE)+1,F41+1,"")),"",IF(F41+1&lt;VLOOKUP($G$22,'Cal 2018'!$G$1:$K$13,5,FALSE)+1,F41+1,""))</f>
        <v>43329</v>
      </c>
      <c r="G42" s="9" t="str">
        <f>IF(ISERROR(VLOOKUP(WEEKDAY(F42,2),'Cal 2018'!$N$18:$O$25,2,FALSE)),"",VLOOKUP(WEEKDAY(F42,2),'Cal 2018'!$N$18:$O$25,2,FALSE))</f>
        <v>Vendredi</v>
      </c>
      <c r="H42" s="9" t="str">
        <f t="shared" si="0"/>
        <v>Semaine</v>
      </c>
      <c r="I42" s="69">
        <f>IF(ISERROR(1+INT(MIN(MOD(F42-DATE(YEAR(F42)+{-1;0;1},1,5)+WEEKDAY(DATE(YEAR(F42)+{-1;0;1},1,3)),734))/7)),"",1+INT(MIN(MOD(F42-DATE(YEAR(F42)+{-1;0;1},1,5)+WEEKDAY(DATE(YEAR(F42)+{-1;0;1},1,3)),734))/7))</f>
        <v>33</v>
      </c>
      <c r="J42" s="19">
        <f>IF(ISERROR(VLOOKUP(F42,'Cal 2018'!$B$2:$D$11,3,FALSE)),"",VLOOKUP(F42,'Cal 2018'!$B$2:$D$11,3,FALSE))</f>
      </c>
      <c r="K42" s="19">
        <f t="shared" si="5"/>
      </c>
      <c r="L42" s="19">
        <f t="shared" si="6"/>
      </c>
      <c r="M42" s="19">
        <f t="shared" si="7"/>
        <v>5</v>
      </c>
      <c r="N42" s="19">
        <f t="shared" si="1"/>
      </c>
      <c r="P42" s="83"/>
      <c r="Q42" s="85"/>
      <c r="R42" s="60"/>
      <c r="S42" s="60"/>
      <c r="T42" s="60"/>
      <c r="U42" s="60"/>
      <c r="V42" s="86"/>
      <c r="W42" s="84">
        <f t="shared" si="2"/>
        <v>0</v>
      </c>
      <c r="X42" s="82">
        <f t="shared" si="8"/>
        <v>0</v>
      </c>
      <c r="Y42" s="82">
        <f>IF(ISERROR(IF(R42+Q42=0,0,VLOOKUP(N42,'Cal 2018'!$Q$1:$T$15,2,FALSE)*COUNT(R42)+VLOOKUP(N42,'Cal 2018'!$Q$1:$T$15,3,FALSE)*IF(Q42=0,0,COUNT(Q42))+VLOOKUP(N42,'Cal 2018'!$Q$1:$T$15,4,FALSE)*IF(Q42=0,0,COUNT(Q42)))),"",IF(R42+Q42=0,0,VLOOKUP(N42,'Cal 2018'!$Q$1:$T$15,2,FALSE)*COUNT(R42)+VLOOKUP(N42,'Cal 2018'!$Q$1:$T$15,3,FALSE)*IF(Q42=0,0,COUNT(Q42))+VLOOKUP(N42,'Cal 2018'!$Q$1:$T$15,4,FALSE)*IF(Q42=0,0,COUNT(Q42))))</f>
        <v>0</v>
      </c>
      <c r="Z42" s="60"/>
      <c r="AA42" s="82">
        <f>IF(H42="","",IF(Z42&gt;0,VLOOKUP(LEFT(N42,5),'Cal 2018'!$U$1:$V$3,2,FALSE)*Z42,0))</f>
        <v>0</v>
      </c>
      <c r="AB42" s="60"/>
    </row>
    <row r="43" spans="4:28" ht="15">
      <c r="D43" s="66" t="str">
        <f t="shared" si="3"/>
        <v>201808</v>
      </c>
      <c r="E43" s="66" t="str">
        <f t="shared" si="4"/>
        <v>2018Q3</v>
      </c>
      <c r="F43" s="14">
        <f>IF(ISERROR(IF(F42+1&lt;VLOOKUP($G$22,'Cal 2018'!$G$1:$K$13,5,FALSE)+1,F42+1,"")),"",IF(F42+1&lt;VLOOKUP($G$22,'Cal 2018'!$G$1:$K$13,5,FALSE)+1,F42+1,""))</f>
        <v>43330</v>
      </c>
      <c r="G43" s="9" t="str">
        <f>IF(ISERROR(VLOOKUP(WEEKDAY(F43,2),'Cal 2018'!$N$18:$O$25,2,FALSE)),"",VLOOKUP(WEEKDAY(F43,2),'Cal 2018'!$N$18:$O$25,2,FALSE))</f>
        <v>Samedi</v>
      </c>
      <c r="H43" s="9" t="str">
        <f t="shared" si="0"/>
        <v>Samedi</v>
      </c>
      <c r="I43" s="69">
        <f>IF(ISERROR(1+INT(MIN(MOD(F43-DATE(YEAR(F43)+{-1;0;1},1,5)+WEEKDAY(DATE(YEAR(F43)+{-1;0;1},1,3)),734))/7)),"",1+INT(MIN(MOD(F43-DATE(YEAR(F43)+{-1;0;1},1,5)+WEEKDAY(DATE(YEAR(F43)+{-1;0;1},1,3)),734))/7))</f>
        <v>33</v>
      </c>
      <c r="J43" s="19">
        <f>IF(ISERROR(VLOOKUP(F43,'Cal 2018'!$B$2:$D$11,3,FALSE)),"",VLOOKUP(F43,'Cal 2018'!$B$2:$D$11,3,FALSE))</f>
      </c>
      <c r="K43" s="19" t="str">
        <f t="shared" si="5"/>
        <v>Samedi</v>
      </c>
      <c r="L43" s="19">
        <f t="shared" si="6"/>
      </c>
      <c r="M43" s="19">
        <f t="shared" si="7"/>
        <v>6</v>
      </c>
      <c r="N43" s="19">
        <f t="shared" si="1"/>
      </c>
      <c r="P43" s="83"/>
      <c r="Q43" s="85"/>
      <c r="R43" s="60"/>
      <c r="S43" s="60"/>
      <c r="T43" s="60"/>
      <c r="U43" s="60"/>
      <c r="V43" s="86"/>
      <c r="W43" s="84">
        <f t="shared" si="2"/>
        <v>0</v>
      </c>
      <c r="X43" s="82">
        <f t="shared" si="8"/>
        <v>0</v>
      </c>
      <c r="Y43" s="82">
        <f>IF(ISERROR(IF(R43+Q43=0,0,VLOOKUP(N43,'Cal 2018'!$Q$1:$T$15,2,FALSE)*COUNT(R43)+VLOOKUP(N43,'Cal 2018'!$Q$1:$T$15,3,FALSE)*IF(Q43=0,0,COUNT(Q43))+VLOOKUP(N43,'Cal 2018'!$Q$1:$T$15,4,FALSE)*IF(Q43=0,0,COUNT(Q43)))),"",IF(R43+Q43=0,0,VLOOKUP(N43,'Cal 2018'!$Q$1:$T$15,2,FALSE)*COUNT(R43)+VLOOKUP(N43,'Cal 2018'!$Q$1:$T$15,3,FALSE)*IF(Q43=0,0,COUNT(Q43))+VLOOKUP(N43,'Cal 2018'!$Q$1:$T$15,4,FALSE)*IF(Q43=0,0,COUNT(Q43))))</f>
        <v>0</v>
      </c>
      <c r="Z43" s="60"/>
      <c r="AA43" s="82">
        <f>IF(H43="","",IF(Z43&gt;0,VLOOKUP(LEFT(N43,5),'Cal 2018'!$U$1:$V$3,2,FALSE)*Z43,0))</f>
        <v>0</v>
      </c>
      <c r="AB43" s="60"/>
    </row>
    <row r="44" spans="4:28" ht="15">
      <c r="D44" s="66" t="str">
        <f t="shared" si="3"/>
        <v>201808</v>
      </c>
      <c r="E44" s="66" t="str">
        <f t="shared" si="4"/>
        <v>2018Q3</v>
      </c>
      <c r="F44" s="14">
        <f>IF(ISERROR(IF(F43+1&lt;VLOOKUP($G$22,'Cal 2018'!$G$1:$K$13,5,FALSE)+1,F43+1,"")),"",IF(F43+1&lt;VLOOKUP($G$22,'Cal 2018'!$G$1:$K$13,5,FALSE)+1,F43+1,""))</f>
        <v>43331</v>
      </c>
      <c r="G44" s="9" t="str">
        <f>IF(ISERROR(VLOOKUP(WEEKDAY(F44,2),'Cal 2018'!$N$18:$O$25,2,FALSE)),"",VLOOKUP(WEEKDAY(F44,2),'Cal 2018'!$N$18:$O$25,2,FALSE))</f>
        <v>Dimanche</v>
      </c>
      <c r="H44" s="9" t="str">
        <f t="shared" si="0"/>
        <v>Dimanche</v>
      </c>
      <c r="I44" s="69">
        <f>IF(ISERROR(1+INT(MIN(MOD(F44-DATE(YEAR(F44)+{-1;0;1},1,5)+WEEKDAY(DATE(YEAR(F44)+{-1;0;1},1,3)),734))/7)),"",1+INT(MIN(MOD(F44-DATE(YEAR(F44)+{-1;0;1},1,5)+WEEKDAY(DATE(YEAR(F44)+{-1;0;1},1,3)),734))/7))</f>
        <v>33</v>
      </c>
      <c r="J44" s="19">
        <f>IF(ISERROR(VLOOKUP(F44,'Cal 2018'!$B$2:$D$11,3,FALSE)),"",VLOOKUP(F44,'Cal 2018'!$B$2:$D$11,3,FALSE))</f>
      </c>
      <c r="K44" s="19">
        <f t="shared" si="5"/>
      </c>
      <c r="L44" s="19" t="str">
        <f t="shared" si="6"/>
        <v>Dimanche</v>
      </c>
      <c r="M44" s="19">
        <f t="shared" si="7"/>
        <v>7</v>
      </c>
      <c r="N44" s="19">
        <f t="shared" si="1"/>
      </c>
      <c r="P44" s="83"/>
      <c r="Q44" s="85"/>
      <c r="R44" s="60"/>
      <c r="S44" s="60"/>
      <c r="T44" s="60"/>
      <c r="U44" s="60"/>
      <c r="V44" s="86"/>
      <c r="W44" s="84">
        <f t="shared" si="2"/>
        <v>0</v>
      </c>
      <c r="X44" s="82">
        <f t="shared" si="8"/>
        <v>0</v>
      </c>
      <c r="Y44" s="82">
        <f>IF(ISERROR(IF(R44+Q44=0,0,VLOOKUP(N44,'Cal 2018'!$Q$1:$T$15,2,FALSE)*COUNT(R44)+VLOOKUP(N44,'Cal 2018'!$Q$1:$T$15,3,FALSE)*IF(Q44=0,0,COUNT(Q44))+VLOOKUP(N44,'Cal 2018'!$Q$1:$T$15,4,FALSE)*IF(Q44=0,0,COUNT(Q44)))),"",IF(R44+Q44=0,0,VLOOKUP(N44,'Cal 2018'!$Q$1:$T$15,2,FALSE)*COUNT(R44)+VLOOKUP(N44,'Cal 2018'!$Q$1:$T$15,3,FALSE)*IF(Q44=0,0,COUNT(Q44))+VLOOKUP(N44,'Cal 2018'!$Q$1:$T$15,4,FALSE)*IF(Q44=0,0,COUNT(Q44))))</f>
        <v>0</v>
      </c>
      <c r="Z44" s="60"/>
      <c r="AA44" s="82">
        <f>IF(H44="","",IF(Z44&gt;0,VLOOKUP(LEFT(N44,5),'Cal 2018'!$U$1:$V$3,2,FALSE)*Z44,0))</f>
        <v>0</v>
      </c>
      <c r="AB44" s="60"/>
    </row>
    <row r="45" spans="4:28" ht="15">
      <c r="D45" s="66" t="str">
        <f t="shared" si="3"/>
        <v>201808</v>
      </c>
      <c r="E45" s="66" t="str">
        <f t="shared" si="4"/>
        <v>2018Q3</v>
      </c>
      <c r="F45" s="14">
        <f>IF(ISERROR(IF(F44+1&lt;VLOOKUP($G$22,'Cal 2018'!$G$1:$K$13,5,FALSE)+1,F44+1,"")),"",IF(F44+1&lt;VLOOKUP($G$22,'Cal 2018'!$G$1:$K$13,5,FALSE)+1,F44+1,""))</f>
        <v>43332</v>
      </c>
      <c r="G45" s="9" t="str">
        <f>IF(ISERROR(VLOOKUP(WEEKDAY(F45,2),'Cal 2018'!$N$18:$O$25,2,FALSE)),"",VLOOKUP(WEEKDAY(F45,2),'Cal 2018'!$N$18:$O$25,2,FALSE))</f>
        <v>Lundi</v>
      </c>
      <c r="H45" s="9" t="str">
        <f t="shared" si="0"/>
        <v>Semaine</v>
      </c>
      <c r="I45" s="69">
        <f>IF(ISERROR(1+INT(MIN(MOD(F45-DATE(YEAR(F45)+{-1;0;1},1,5)+WEEKDAY(DATE(YEAR(F45)+{-1;0;1},1,3)),734))/7)),"",1+INT(MIN(MOD(F45-DATE(YEAR(F45)+{-1;0;1},1,5)+WEEKDAY(DATE(YEAR(F45)+{-1;0;1},1,3)),734))/7))</f>
        <v>34</v>
      </c>
      <c r="J45" s="19">
        <f>IF(ISERROR(VLOOKUP(F45,'Cal 2018'!$B$2:$D$11,3,FALSE)),"",VLOOKUP(F45,'Cal 2018'!$B$2:$D$11,3,FALSE))</f>
      </c>
      <c r="K45" s="19">
        <f t="shared" si="5"/>
      </c>
      <c r="L45" s="19">
        <f t="shared" si="6"/>
      </c>
      <c r="M45" s="19">
        <f t="shared" si="7"/>
        <v>1</v>
      </c>
      <c r="N45" s="19">
        <f t="shared" si="1"/>
      </c>
      <c r="P45" s="83"/>
      <c r="Q45" s="85"/>
      <c r="R45" s="60"/>
      <c r="S45" s="60"/>
      <c r="T45" s="60"/>
      <c r="U45" s="60"/>
      <c r="V45" s="86"/>
      <c r="W45" s="84">
        <f t="shared" si="2"/>
        <v>0</v>
      </c>
      <c r="X45" s="82">
        <f t="shared" si="8"/>
        <v>0</v>
      </c>
      <c r="Y45" s="82">
        <f>IF(ISERROR(IF(R45+Q45=0,0,VLOOKUP(N45,'Cal 2018'!$Q$1:$T$15,2,FALSE)*COUNT(R45)+VLOOKUP(N45,'Cal 2018'!$Q$1:$T$15,3,FALSE)*IF(Q45=0,0,COUNT(Q45))+VLOOKUP(N45,'Cal 2018'!$Q$1:$T$15,4,FALSE)*IF(Q45=0,0,COUNT(Q45)))),"",IF(R45+Q45=0,0,VLOOKUP(N45,'Cal 2018'!$Q$1:$T$15,2,FALSE)*COUNT(R45)+VLOOKUP(N45,'Cal 2018'!$Q$1:$T$15,3,FALSE)*IF(Q45=0,0,COUNT(Q45))+VLOOKUP(N45,'Cal 2018'!$Q$1:$T$15,4,FALSE)*IF(Q45=0,0,COUNT(Q45))))</f>
        <v>0</v>
      </c>
      <c r="Z45" s="60"/>
      <c r="AA45" s="82">
        <f>IF(H45="","",IF(Z45&gt;0,VLOOKUP(LEFT(N45,5),'Cal 2018'!$U$1:$V$3,2,FALSE)*Z45,0))</f>
        <v>0</v>
      </c>
      <c r="AB45" s="60"/>
    </row>
    <row r="46" spans="4:28" ht="15">
      <c r="D46" s="66" t="str">
        <f t="shared" si="3"/>
        <v>201808</v>
      </c>
      <c r="E46" s="66" t="str">
        <f t="shared" si="4"/>
        <v>2018Q3</v>
      </c>
      <c r="F46" s="14">
        <f>IF(ISERROR(IF(F45+1&lt;VLOOKUP($G$22,'Cal 2018'!$G$1:$K$13,5,FALSE)+1,F45+1,"")),"",IF(F45+1&lt;VLOOKUP($G$22,'Cal 2018'!$G$1:$K$13,5,FALSE)+1,F45+1,""))</f>
        <v>43333</v>
      </c>
      <c r="G46" s="9" t="str">
        <f>IF(ISERROR(VLOOKUP(WEEKDAY(F46,2),'Cal 2018'!$N$18:$O$25,2,FALSE)),"",VLOOKUP(WEEKDAY(F46,2),'Cal 2018'!$N$18:$O$25,2,FALSE))</f>
        <v>Mardi</v>
      </c>
      <c r="H46" s="9" t="str">
        <f t="shared" si="0"/>
        <v>Semaine</v>
      </c>
      <c r="I46" s="69">
        <f>IF(ISERROR(1+INT(MIN(MOD(F46-DATE(YEAR(F46)+{-1;0;1},1,5)+WEEKDAY(DATE(YEAR(F46)+{-1;0;1},1,3)),734))/7)),"",1+INT(MIN(MOD(F46-DATE(YEAR(F46)+{-1;0;1},1,5)+WEEKDAY(DATE(YEAR(F46)+{-1;0;1},1,3)),734))/7))</f>
        <v>34</v>
      </c>
      <c r="J46" s="19">
        <f>IF(ISERROR(VLOOKUP(F46,'Cal 2018'!$B$2:$D$11,3,FALSE)),"",VLOOKUP(F46,'Cal 2018'!$B$2:$D$11,3,FALSE))</f>
      </c>
      <c r="K46" s="19">
        <f t="shared" si="5"/>
      </c>
      <c r="L46" s="19">
        <f t="shared" si="6"/>
      </c>
      <c r="M46" s="19">
        <f t="shared" si="7"/>
        <v>2</v>
      </c>
      <c r="N46" s="19">
        <f t="shared" si="1"/>
      </c>
      <c r="P46" s="83"/>
      <c r="Q46" s="85"/>
      <c r="R46" s="60"/>
      <c r="S46" s="60"/>
      <c r="T46" s="60"/>
      <c r="U46" s="60"/>
      <c r="V46" s="86"/>
      <c r="W46" s="84">
        <f t="shared" si="2"/>
        <v>0</v>
      </c>
      <c r="X46" s="82">
        <f t="shared" si="8"/>
        <v>0</v>
      </c>
      <c r="Y46" s="82">
        <f>IF(ISERROR(IF(R46+Q46=0,0,VLOOKUP(N46,'Cal 2018'!$Q$1:$T$15,2,FALSE)*COUNT(R46)+VLOOKUP(N46,'Cal 2018'!$Q$1:$T$15,3,FALSE)*IF(Q46=0,0,COUNT(Q46))+VLOOKUP(N46,'Cal 2018'!$Q$1:$T$15,4,FALSE)*IF(Q46=0,0,COUNT(Q46)))),"",IF(R46+Q46=0,0,VLOOKUP(N46,'Cal 2018'!$Q$1:$T$15,2,FALSE)*COUNT(R46)+VLOOKUP(N46,'Cal 2018'!$Q$1:$T$15,3,FALSE)*IF(Q46=0,0,COUNT(Q46))+VLOOKUP(N46,'Cal 2018'!$Q$1:$T$15,4,FALSE)*IF(Q46=0,0,COUNT(Q46))))</f>
        <v>0</v>
      </c>
      <c r="Z46" s="60"/>
      <c r="AA46" s="82">
        <f>IF(H46="","",IF(Z46&gt;0,VLOOKUP(LEFT(N46,5),'Cal 2018'!$U$1:$V$3,2,FALSE)*Z46,0))</f>
        <v>0</v>
      </c>
      <c r="AB46" s="60"/>
    </row>
    <row r="47" spans="4:28" ht="15">
      <c r="D47" s="66" t="str">
        <f t="shared" si="3"/>
        <v>201808</v>
      </c>
      <c r="E47" s="66" t="str">
        <f t="shared" si="4"/>
        <v>2018Q3</v>
      </c>
      <c r="F47" s="14">
        <f>IF(ISERROR(IF(F46+1&lt;VLOOKUP($G$22,'Cal 2018'!$G$1:$K$13,5,FALSE)+1,F46+1,"")),"",IF(F46+1&lt;VLOOKUP($G$22,'Cal 2018'!$G$1:$K$13,5,FALSE)+1,F46+1,""))</f>
        <v>43334</v>
      </c>
      <c r="G47" s="9" t="str">
        <f>IF(ISERROR(VLOOKUP(WEEKDAY(F47,2),'Cal 2018'!$N$18:$O$25,2,FALSE)),"",VLOOKUP(WEEKDAY(F47,2),'Cal 2018'!$N$18:$O$25,2,FALSE))</f>
        <v>Mercredi</v>
      </c>
      <c r="H47" s="9" t="str">
        <f t="shared" si="0"/>
        <v>Semaine</v>
      </c>
      <c r="I47" s="69">
        <f>IF(ISERROR(1+INT(MIN(MOD(F47-DATE(YEAR(F47)+{-1;0;1},1,5)+WEEKDAY(DATE(YEAR(F47)+{-1;0;1},1,3)),734))/7)),"",1+INT(MIN(MOD(F47-DATE(YEAR(F47)+{-1;0;1},1,5)+WEEKDAY(DATE(YEAR(F47)+{-1;0;1},1,3)),734))/7))</f>
        <v>34</v>
      </c>
      <c r="J47" s="19">
        <f>IF(ISERROR(VLOOKUP(F47,'Cal 2018'!$B$2:$D$11,3,FALSE)),"",VLOOKUP(F47,'Cal 2018'!$B$2:$D$11,3,FALSE))</f>
      </c>
      <c r="K47" s="19">
        <f t="shared" si="5"/>
      </c>
      <c r="L47" s="19">
        <f t="shared" si="6"/>
      </c>
      <c r="M47" s="19">
        <f t="shared" si="7"/>
        <v>3</v>
      </c>
      <c r="N47" s="19">
        <f t="shared" si="1"/>
      </c>
      <c r="P47" s="83"/>
      <c r="Q47" s="85"/>
      <c r="R47" s="60"/>
      <c r="S47" s="60"/>
      <c r="T47" s="60"/>
      <c r="U47" s="60"/>
      <c r="V47" s="86"/>
      <c r="W47" s="84">
        <f t="shared" si="2"/>
        <v>0</v>
      </c>
      <c r="X47" s="82">
        <f t="shared" si="8"/>
        <v>0</v>
      </c>
      <c r="Y47" s="82">
        <f>IF(ISERROR(IF(R47+Q47=0,0,VLOOKUP(N47,'Cal 2018'!$Q$1:$T$15,2,FALSE)*COUNT(R47)+VLOOKUP(N47,'Cal 2018'!$Q$1:$T$15,3,FALSE)*IF(Q47=0,0,COUNT(Q47))+VLOOKUP(N47,'Cal 2018'!$Q$1:$T$15,4,FALSE)*IF(Q47=0,0,COUNT(Q47)))),"",IF(R47+Q47=0,0,VLOOKUP(N47,'Cal 2018'!$Q$1:$T$15,2,FALSE)*COUNT(R47)+VLOOKUP(N47,'Cal 2018'!$Q$1:$T$15,3,FALSE)*IF(Q47=0,0,COUNT(Q47))+VLOOKUP(N47,'Cal 2018'!$Q$1:$T$15,4,FALSE)*IF(Q47=0,0,COUNT(Q47))))</f>
        <v>0</v>
      </c>
      <c r="Z47" s="60"/>
      <c r="AA47" s="82">
        <f>IF(H47="","",IF(Z47&gt;0,VLOOKUP(LEFT(N47,5),'Cal 2018'!$U$1:$V$3,2,FALSE)*Z47,0))</f>
        <v>0</v>
      </c>
      <c r="AB47" s="60"/>
    </row>
    <row r="48" spans="4:28" ht="15">
      <c r="D48" s="66" t="str">
        <f t="shared" si="3"/>
        <v>201808</v>
      </c>
      <c r="E48" s="66" t="str">
        <f t="shared" si="4"/>
        <v>2018Q3</v>
      </c>
      <c r="F48" s="14">
        <f>IF(ISERROR(IF(F47+1&lt;VLOOKUP($G$22,'Cal 2018'!$G$1:$K$13,5,FALSE)+1,F47+1,"")),"",IF(F47+1&lt;VLOOKUP($G$22,'Cal 2018'!$G$1:$K$13,5,FALSE)+1,F47+1,""))</f>
        <v>43335</v>
      </c>
      <c r="G48" s="9" t="str">
        <f>IF(ISERROR(VLOOKUP(WEEKDAY(F48,2),'Cal 2018'!$N$18:$O$25,2,FALSE)),"",VLOOKUP(WEEKDAY(F48,2),'Cal 2018'!$N$18:$O$25,2,FALSE))</f>
        <v>Jeudi</v>
      </c>
      <c r="H48" s="9" t="str">
        <f t="shared" si="0"/>
        <v>Semaine</v>
      </c>
      <c r="I48" s="69">
        <f>IF(ISERROR(1+INT(MIN(MOD(F48-DATE(YEAR(F48)+{-1;0;1},1,5)+WEEKDAY(DATE(YEAR(F48)+{-1;0;1},1,3)),734))/7)),"",1+INT(MIN(MOD(F48-DATE(YEAR(F48)+{-1;0;1},1,5)+WEEKDAY(DATE(YEAR(F48)+{-1;0;1},1,3)),734))/7))</f>
        <v>34</v>
      </c>
      <c r="J48" s="19">
        <f>IF(ISERROR(VLOOKUP(F48,'Cal 2018'!$B$2:$D$11,3,FALSE)),"",VLOOKUP(F48,'Cal 2018'!$B$2:$D$11,3,FALSE))</f>
      </c>
      <c r="K48" s="19">
        <f t="shared" si="5"/>
      </c>
      <c r="L48" s="19">
        <f t="shared" si="6"/>
      </c>
      <c r="M48" s="19">
        <f t="shared" si="7"/>
        <v>4</v>
      </c>
      <c r="N48" s="19">
        <f t="shared" si="1"/>
      </c>
      <c r="P48" s="83"/>
      <c r="Q48" s="85"/>
      <c r="R48" s="60"/>
      <c r="S48" s="60"/>
      <c r="T48" s="60"/>
      <c r="U48" s="60"/>
      <c r="V48" s="86"/>
      <c r="W48" s="84">
        <f t="shared" si="2"/>
        <v>0</v>
      </c>
      <c r="X48" s="82">
        <f t="shared" si="8"/>
        <v>0</v>
      </c>
      <c r="Y48" s="82">
        <f>IF(ISERROR(IF(R48+Q48=0,0,VLOOKUP(N48,'Cal 2018'!$Q$1:$T$15,2,FALSE)*COUNT(R48)+VLOOKUP(N48,'Cal 2018'!$Q$1:$T$15,3,FALSE)*IF(Q48=0,0,COUNT(Q48))+VLOOKUP(N48,'Cal 2018'!$Q$1:$T$15,4,FALSE)*IF(Q48=0,0,COUNT(Q48)))),"",IF(R48+Q48=0,0,VLOOKUP(N48,'Cal 2018'!$Q$1:$T$15,2,FALSE)*COUNT(R48)+VLOOKUP(N48,'Cal 2018'!$Q$1:$T$15,3,FALSE)*IF(Q48=0,0,COUNT(Q48))+VLOOKUP(N48,'Cal 2018'!$Q$1:$T$15,4,FALSE)*IF(Q48=0,0,COUNT(Q48))))</f>
        <v>0</v>
      </c>
      <c r="Z48" s="60"/>
      <c r="AA48" s="82">
        <f>IF(H48="","",IF(Z48&gt;0,VLOOKUP(LEFT(N48,5),'Cal 2018'!$U$1:$V$3,2,FALSE)*Z48,0))</f>
        <v>0</v>
      </c>
      <c r="AB48" s="60"/>
    </row>
    <row r="49" spans="4:28" ht="15">
      <c r="D49" s="66" t="str">
        <f t="shared" si="3"/>
        <v>201808</v>
      </c>
      <c r="E49" s="66" t="str">
        <f t="shared" si="4"/>
        <v>2018Q3</v>
      </c>
      <c r="F49" s="14">
        <f>IF(ISERROR(IF(F48+1&lt;VLOOKUP($G$22,'Cal 2018'!$G$1:$K$13,5,FALSE)+1,F48+1,"")),"",IF(F48+1&lt;VLOOKUP($G$22,'Cal 2018'!$G$1:$K$13,5,FALSE)+1,F48+1,""))</f>
        <v>43336</v>
      </c>
      <c r="G49" s="9" t="str">
        <f>IF(ISERROR(VLOOKUP(WEEKDAY(F49,2),'Cal 2018'!$N$18:$O$25,2,FALSE)),"",VLOOKUP(WEEKDAY(F49,2),'Cal 2018'!$N$18:$O$25,2,FALSE))</f>
        <v>Vendredi</v>
      </c>
      <c r="H49" s="9" t="str">
        <f t="shared" si="0"/>
        <v>Semaine</v>
      </c>
      <c r="I49" s="69">
        <f>IF(ISERROR(1+INT(MIN(MOD(F49-DATE(YEAR(F49)+{-1;0;1},1,5)+WEEKDAY(DATE(YEAR(F49)+{-1;0;1},1,3)),734))/7)),"",1+INT(MIN(MOD(F49-DATE(YEAR(F49)+{-1;0;1},1,5)+WEEKDAY(DATE(YEAR(F49)+{-1;0;1},1,3)),734))/7))</f>
        <v>34</v>
      </c>
      <c r="J49" s="19">
        <f>IF(ISERROR(VLOOKUP(F49,'Cal 2018'!$B$2:$D$11,3,FALSE)),"",VLOOKUP(F49,'Cal 2018'!$B$2:$D$11,3,FALSE))</f>
      </c>
      <c r="K49" s="19">
        <f t="shared" si="5"/>
      </c>
      <c r="L49" s="19">
        <f t="shared" si="6"/>
      </c>
      <c r="M49" s="19">
        <f t="shared" si="7"/>
        <v>5</v>
      </c>
      <c r="N49" s="19">
        <f t="shared" si="1"/>
      </c>
      <c r="P49" s="83"/>
      <c r="Q49" s="85"/>
      <c r="R49" s="60"/>
      <c r="S49" s="60"/>
      <c r="T49" s="60"/>
      <c r="U49" s="60"/>
      <c r="V49" s="86"/>
      <c r="W49" s="84">
        <f t="shared" si="2"/>
        <v>0</v>
      </c>
      <c r="X49" s="82">
        <f t="shared" si="8"/>
        <v>0</v>
      </c>
      <c r="Y49" s="82">
        <f>IF(ISERROR(IF(R49+Q49=0,0,VLOOKUP(N49,'Cal 2018'!$Q$1:$T$15,2,FALSE)*COUNT(R49)+VLOOKUP(N49,'Cal 2018'!$Q$1:$T$15,3,FALSE)*IF(Q49=0,0,COUNT(Q49))+VLOOKUP(N49,'Cal 2018'!$Q$1:$T$15,4,FALSE)*IF(Q49=0,0,COUNT(Q49)))),"",IF(R49+Q49=0,0,VLOOKUP(N49,'Cal 2018'!$Q$1:$T$15,2,FALSE)*COUNT(R49)+VLOOKUP(N49,'Cal 2018'!$Q$1:$T$15,3,FALSE)*IF(Q49=0,0,COUNT(Q49))+VLOOKUP(N49,'Cal 2018'!$Q$1:$T$15,4,FALSE)*IF(Q49=0,0,COUNT(Q49))))</f>
        <v>0</v>
      </c>
      <c r="Z49" s="60"/>
      <c r="AA49" s="82">
        <f>IF(H49="","",IF(Z49&gt;0,VLOOKUP(LEFT(N49,5),'Cal 2018'!$U$1:$V$3,2,FALSE)*Z49,0))</f>
        <v>0</v>
      </c>
      <c r="AB49" s="60"/>
    </row>
    <row r="50" spans="4:28" ht="15">
      <c r="D50" s="66" t="str">
        <f t="shared" si="3"/>
        <v>201808</v>
      </c>
      <c r="E50" s="66" t="str">
        <f t="shared" si="4"/>
        <v>2018Q3</v>
      </c>
      <c r="F50" s="14">
        <f>IF(ISERROR(IF(F49+1&lt;VLOOKUP($G$22,'Cal 2018'!$G$1:$K$13,5,FALSE)+1,F49+1,"")),"",IF(F49+1&lt;VLOOKUP($G$22,'Cal 2018'!$G$1:$K$13,5,FALSE)+1,F49+1,""))</f>
        <v>43337</v>
      </c>
      <c r="G50" s="9" t="str">
        <f>IF(ISERROR(VLOOKUP(WEEKDAY(F50,2),'Cal 2018'!$N$18:$O$25,2,FALSE)),"",VLOOKUP(WEEKDAY(F50,2),'Cal 2018'!$N$18:$O$25,2,FALSE))</f>
        <v>Samedi</v>
      </c>
      <c r="H50" s="9" t="str">
        <f t="shared" si="0"/>
        <v>Samedi</v>
      </c>
      <c r="I50" s="69">
        <f>IF(ISERROR(1+INT(MIN(MOD(F50-DATE(YEAR(F50)+{-1;0;1},1,5)+WEEKDAY(DATE(YEAR(F50)+{-1;0;1},1,3)),734))/7)),"",1+INT(MIN(MOD(F50-DATE(YEAR(F50)+{-1;0;1},1,5)+WEEKDAY(DATE(YEAR(F50)+{-1;0;1},1,3)),734))/7))</f>
        <v>34</v>
      </c>
      <c r="J50" s="19">
        <f>IF(ISERROR(VLOOKUP(F50,'Cal 2018'!$B$2:$D$11,3,FALSE)),"",VLOOKUP(F50,'Cal 2018'!$B$2:$D$11,3,FALSE))</f>
      </c>
      <c r="K50" s="19" t="str">
        <f t="shared" si="5"/>
        <v>Samedi</v>
      </c>
      <c r="L50" s="19">
        <f t="shared" si="6"/>
      </c>
      <c r="M50" s="19">
        <f t="shared" si="7"/>
        <v>6</v>
      </c>
      <c r="N50" s="19">
        <f t="shared" si="1"/>
      </c>
      <c r="P50" s="83"/>
      <c r="Q50" s="85"/>
      <c r="R50" s="60"/>
      <c r="S50" s="60"/>
      <c r="T50" s="60"/>
      <c r="U50" s="60"/>
      <c r="V50" s="86"/>
      <c r="W50" s="84">
        <f t="shared" si="2"/>
        <v>0</v>
      </c>
      <c r="X50" s="82">
        <f t="shared" si="8"/>
        <v>0</v>
      </c>
      <c r="Y50" s="82">
        <f>IF(ISERROR(IF(R50+Q50=0,0,VLOOKUP(N50,'Cal 2018'!$Q$1:$T$15,2,FALSE)*COUNT(R50)+VLOOKUP(N50,'Cal 2018'!$Q$1:$T$15,3,FALSE)*IF(Q50=0,0,COUNT(Q50))+VLOOKUP(N50,'Cal 2018'!$Q$1:$T$15,4,FALSE)*IF(Q50=0,0,COUNT(Q50)))),"",IF(R50+Q50=0,0,VLOOKUP(N50,'Cal 2018'!$Q$1:$T$15,2,FALSE)*COUNT(R50)+VLOOKUP(N50,'Cal 2018'!$Q$1:$T$15,3,FALSE)*IF(Q50=0,0,COUNT(Q50))+VLOOKUP(N50,'Cal 2018'!$Q$1:$T$15,4,FALSE)*IF(Q50=0,0,COUNT(Q50))))</f>
        <v>0</v>
      </c>
      <c r="Z50" s="60"/>
      <c r="AA50" s="82">
        <f>IF(H50="","",IF(Z50&gt;0,VLOOKUP(LEFT(N50,5),'Cal 2018'!$U$1:$V$3,2,FALSE)*Z50,0))</f>
        <v>0</v>
      </c>
      <c r="AB50" s="60"/>
    </row>
    <row r="51" spans="4:28" ht="15">
      <c r="D51" s="66" t="str">
        <f t="shared" si="3"/>
        <v>201808</v>
      </c>
      <c r="E51" s="66" t="str">
        <f t="shared" si="4"/>
        <v>2018Q3</v>
      </c>
      <c r="F51" s="14">
        <f>IF(ISERROR(IF(F50+1&lt;VLOOKUP($G$22,'Cal 2018'!$G$1:$K$13,5,FALSE)+1,F50+1,"")),"",IF(F50+1&lt;VLOOKUP($G$22,'Cal 2018'!$G$1:$K$13,5,FALSE)+1,F50+1,""))</f>
        <v>43338</v>
      </c>
      <c r="G51" s="9" t="str">
        <f>IF(ISERROR(VLOOKUP(WEEKDAY(F51,2),'Cal 2018'!$N$18:$O$25,2,FALSE)),"",VLOOKUP(WEEKDAY(F51,2),'Cal 2018'!$N$18:$O$25,2,FALSE))</f>
        <v>Dimanche</v>
      </c>
      <c r="H51" s="9" t="str">
        <f t="shared" si="0"/>
        <v>Dimanche</v>
      </c>
      <c r="I51" s="69">
        <f>IF(ISERROR(1+INT(MIN(MOD(F51-DATE(YEAR(F51)+{-1;0;1},1,5)+WEEKDAY(DATE(YEAR(F51)+{-1;0;1},1,3)),734))/7)),"",1+INT(MIN(MOD(F51-DATE(YEAR(F51)+{-1;0;1},1,5)+WEEKDAY(DATE(YEAR(F51)+{-1;0;1},1,3)),734))/7))</f>
        <v>34</v>
      </c>
      <c r="J51" s="19">
        <f>IF(ISERROR(VLOOKUP(F51,'Cal 2018'!$B$2:$D$11,3,FALSE)),"",VLOOKUP(F51,'Cal 2018'!$B$2:$D$11,3,FALSE))</f>
      </c>
      <c r="K51" s="19">
        <f t="shared" si="5"/>
      </c>
      <c r="L51" s="19" t="str">
        <f t="shared" si="6"/>
        <v>Dimanche</v>
      </c>
      <c r="M51" s="19">
        <f t="shared" si="7"/>
        <v>7</v>
      </c>
      <c r="N51" s="19">
        <f t="shared" si="1"/>
      </c>
      <c r="P51" s="83"/>
      <c r="Q51" s="85"/>
      <c r="R51" s="60"/>
      <c r="S51" s="60"/>
      <c r="T51" s="60"/>
      <c r="U51" s="60"/>
      <c r="V51" s="86"/>
      <c r="W51" s="84">
        <f t="shared" si="2"/>
        <v>0</v>
      </c>
      <c r="X51" s="82">
        <f t="shared" si="8"/>
        <v>0</v>
      </c>
      <c r="Y51" s="82">
        <f>IF(ISERROR(IF(R51+Q51=0,0,VLOOKUP(N51,'Cal 2018'!$Q$1:$T$15,2,FALSE)*COUNT(R51)+VLOOKUP(N51,'Cal 2018'!$Q$1:$T$15,3,FALSE)*IF(Q51=0,0,COUNT(Q51))+VLOOKUP(N51,'Cal 2018'!$Q$1:$T$15,4,FALSE)*IF(Q51=0,0,COUNT(Q51)))),"",IF(R51+Q51=0,0,VLOOKUP(N51,'Cal 2018'!$Q$1:$T$15,2,FALSE)*COUNT(R51)+VLOOKUP(N51,'Cal 2018'!$Q$1:$T$15,3,FALSE)*IF(Q51=0,0,COUNT(Q51))+VLOOKUP(N51,'Cal 2018'!$Q$1:$T$15,4,FALSE)*IF(Q51=0,0,COUNT(Q51))))</f>
        <v>0</v>
      </c>
      <c r="Z51" s="60"/>
      <c r="AA51" s="82">
        <f>IF(H51="","",IF(Z51&gt;0,VLOOKUP(LEFT(N51,5),'Cal 2018'!$U$1:$V$3,2,FALSE)*Z51,0))</f>
        <v>0</v>
      </c>
      <c r="AB51" s="60"/>
    </row>
    <row r="52" spans="4:28" ht="15">
      <c r="D52" s="66" t="str">
        <f t="shared" si="3"/>
        <v>201808</v>
      </c>
      <c r="E52" s="66" t="str">
        <f t="shared" si="4"/>
        <v>2018Q3</v>
      </c>
      <c r="F52" s="14">
        <f>IF(ISERROR(IF(F51+1&lt;VLOOKUP($G$22,'Cal 2018'!$G$1:$K$13,5,FALSE)+1,F51+1,"")),"",IF(F51+1&lt;VLOOKUP($G$22,'Cal 2018'!$G$1:$K$13,5,FALSE)+1,F51+1,""))</f>
        <v>43339</v>
      </c>
      <c r="G52" s="9" t="str">
        <f>IF(ISERROR(VLOOKUP(WEEKDAY(F52,2),'Cal 2018'!$N$18:$O$25,2,FALSE)),"",VLOOKUP(WEEKDAY(F52,2),'Cal 2018'!$N$18:$O$25,2,FALSE))</f>
        <v>Lundi</v>
      </c>
      <c r="H52" s="9" t="str">
        <f t="shared" si="0"/>
        <v>Semaine</v>
      </c>
      <c r="I52" s="69">
        <f>IF(ISERROR(1+INT(MIN(MOD(F52-DATE(YEAR(F52)+{-1;0;1},1,5)+WEEKDAY(DATE(YEAR(F52)+{-1;0;1},1,3)),734))/7)),"",1+INT(MIN(MOD(F52-DATE(YEAR(F52)+{-1;0;1},1,5)+WEEKDAY(DATE(YEAR(F52)+{-1;0;1},1,3)),734))/7))</f>
        <v>35</v>
      </c>
      <c r="J52" s="19">
        <f>IF(ISERROR(VLOOKUP(F52,'Cal 2018'!$B$2:$D$11,3,FALSE)),"",VLOOKUP(F52,'Cal 2018'!$B$2:$D$11,3,FALSE))</f>
      </c>
      <c r="K52" s="19">
        <f t="shared" si="5"/>
      </c>
      <c r="L52" s="19">
        <f t="shared" si="6"/>
      </c>
      <c r="M52" s="19">
        <f t="shared" si="7"/>
        <v>1</v>
      </c>
      <c r="N52" s="19">
        <f t="shared" si="1"/>
      </c>
      <c r="P52" s="83"/>
      <c r="Q52" s="85"/>
      <c r="R52" s="60"/>
      <c r="S52" s="60"/>
      <c r="T52" s="60"/>
      <c r="U52" s="60"/>
      <c r="V52" s="86"/>
      <c r="W52" s="84">
        <f t="shared" si="2"/>
        <v>0</v>
      </c>
      <c r="X52" s="82">
        <f t="shared" si="8"/>
        <v>0</v>
      </c>
      <c r="Y52" s="82">
        <f>IF(ISERROR(IF(R52+Q52=0,0,VLOOKUP(N52,'Cal 2018'!$Q$1:$T$15,2,FALSE)*COUNT(R52)+VLOOKUP(N52,'Cal 2018'!$Q$1:$T$15,3,FALSE)*IF(Q52=0,0,COUNT(Q52))+VLOOKUP(N52,'Cal 2018'!$Q$1:$T$15,4,FALSE)*IF(Q52=0,0,COUNT(Q52)))),"",IF(R52+Q52=0,0,VLOOKUP(N52,'Cal 2018'!$Q$1:$T$15,2,FALSE)*COUNT(R52)+VLOOKUP(N52,'Cal 2018'!$Q$1:$T$15,3,FALSE)*IF(Q52=0,0,COUNT(Q52))+VLOOKUP(N52,'Cal 2018'!$Q$1:$T$15,4,FALSE)*IF(Q52=0,0,COUNT(Q52))))</f>
        <v>0</v>
      </c>
      <c r="Z52" s="60"/>
      <c r="AA52" s="82">
        <f>IF(H52="","",IF(Z52&gt;0,VLOOKUP(LEFT(N52,5),'Cal 2018'!$U$1:$V$3,2,FALSE)*Z52,0))</f>
        <v>0</v>
      </c>
      <c r="AB52" s="60"/>
    </row>
    <row r="53" spans="4:28" ht="15">
      <c r="D53" s="66" t="str">
        <f t="shared" si="3"/>
        <v>201808</v>
      </c>
      <c r="E53" s="66" t="str">
        <f t="shared" si="4"/>
        <v>2018Q3</v>
      </c>
      <c r="F53" s="14">
        <f>IF(ISERROR(IF(F52+1&lt;VLOOKUP($G$22,'Cal 2018'!$G$1:$K$13,5,FALSE)+1,F52+1,"")),"",IF(F52+1&lt;VLOOKUP($G$22,'Cal 2018'!$G$1:$K$13,5,FALSE)+1,F52+1,""))</f>
        <v>43340</v>
      </c>
      <c r="G53" s="9" t="str">
        <f>IF(ISERROR(VLOOKUP(WEEKDAY(F53,2),'Cal 2018'!$N$18:$O$25,2,FALSE)),"",VLOOKUP(WEEKDAY(F53,2),'Cal 2018'!$N$18:$O$25,2,FALSE))</f>
        <v>Mardi</v>
      </c>
      <c r="H53" s="9" t="str">
        <f t="shared" si="0"/>
        <v>Semaine</v>
      </c>
      <c r="I53" s="69">
        <f>IF(ISERROR(1+INT(MIN(MOD(F53-DATE(YEAR(F53)+{-1;0;1},1,5)+WEEKDAY(DATE(YEAR(F53)+{-1;0;1},1,3)),734))/7)),"",1+INT(MIN(MOD(F53-DATE(YEAR(F53)+{-1;0;1},1,5)+WEEKDAY(DATE(YEAR(F53)+{-1;0;1},1,3)),734))/7))</f>
        <v>35</v>
      </c>
      <c r="J53" s="19">
        <f>IF(ISERROR(VLOOKUP(F53,'Cal 2018'!$B$2:$D$11,3,FALSE)),"",VLOOKUP(F53,'Cal 2018'!$B$2:$D$11,3,FALSE))</f>
      </c>
      <c r="K53" s="19">
        <f t="shared" si="5"/>
      </c>
      <c r="L53" s="19">
        <f t="shared" si="6"/>
      </c>
      <c r="M53" s="19">
        <f t="shared" si="7"/>
        <v>2</v>
      </c>
      <c r="N53" s="19">
        <f t="shared" si="1"/>
      </c>
      <c r="P53" s="83"/>
      <c r="Q53" s="85"/>
      <c r="R53" s="60"/>
      <c r="S53" s="60"/>
      <c r="T53" s="60"/>
      <c r="U53" s="60"/>
      <c r="V53" s="86"/>
      <c r="W53" s="84">
        <f t="shared" si="2"/>
        <v>0</v>
      </c>
      <c r="X53" s="82">
        <f t="shared" si="8"/>
        <v>0</v>
      </c>
      <c r="Y53" s="82">
        <f>IF(ISERROR(IF(R53+Q53=0,0,VLOOKUP(N53,'Cal 2018'!$Q$1:$T$15,2,FALSE)*COUNT(R53)+VLOOKUP(N53,'Cal 2018'!$Q$1:$T$15,3,FALSE)*IF(Q53=0,0,COUNT(Q53))+VLOOKUP(N53,'Cal 2018'!$Q$1:$T$15,4,FALSE)*IF(Q53=0,0,COUNT(Q53)))),"",IF(R53+Q53=0,0,VLOOKUP(N53,'Cal 2018'!$Q$1:$T$15,2,FALSE)*COUNT(R53)+VLOOKUP(N53,'Cal 2018'!$Q$1:$T$15,3,FALSE)*IF(Q53=0,0,COUNT(Q53))+VLOOKUP(N53,'Cal 2018'!$Q$1:$T$15,4,FALSE)*IF(Q53=0,0,COUNT(Q53))))</f>
        <v>0</v>
      </c>
      <c r="Z53" s="60"/>
      <c r="AA53" s="82">
        <f>IF(H53="","",IF(Z53&gt;0,VLOOKUP(LEFT(N53,5),'Cal 2018'!$U$1:$V$3,2,FALSE)*Z53,0))</f>
        <v>0</v>
      </c>
      <c r="AB53" s="60"/>
    </row>
    <row r="54" spans="4:28" ht="15">
      <c r="D54" s="66" t="str">
        <f t="shared" si="3"/>
        <v>201808</v>
      </c>
      <c r="E54" s="66" t="str">
        <f t="shared" si="4"/>
        <v>2018Q3</v>
      </c>
      <c r="F54" s="14">
        <f>IF(ISERROR(IF(F53+1&lt;VLOOKUP($G$22,'Cal 2018'!$G$1:$K$13,5,FALSE)+1,F53+1,"")),"",IF(F53+1&lt;VLOOKUP($G$22,'Cal 2018'!$G$1:$K$13,5,FALSE)+1,F53+1,""))</f>
        <v>43341</v>
      </c>
      <c r="G54" s="9" t="str">
        <f>IF(ISERROR(VLOOKUP(WEEKDAY(F54,2),'Cal 2018'!$N$18:$O$25,2,FALSE)),"",VLOOKUP(WEEKDAY(F54,2),'Cal 2018'!$N$18:$O$25,2,FALSE))</f>
        <v>Mercredi</v>
      </c>
      <c r="H54" s="9" t="str">
        <f t="shared" si="0"/>
        <v>Semaine</v>
      </c>
      <c r="I54" s="69">
        <f>IF(ISERROR(1+INT(MIN(MOD(F54-DATE(YEAR(F54)+{-1;0;1},1,5)+WEEKDAY(DATE(YEAR(F54)+{-1;0;1},1,3)),734))/7)),"",1+INT(MIN(MOD(F54-DATE(YEAR(F54)+{-1;0;1},1,5)+WEEKDAY(DATE(YEAR(F54)+{-1;0;1},1,3)),734))/7))</f>
        <v>35</v>
      </c>
      <c r="J54" s="19">
        <f>IF(ISERROR(VLOOKUP(F54,'Cal 2018'!$B$2:$D$11,3,FALSE)),"",VLOOKUP(F54,'Cal 2018'!$B$2:$D$11,3,FALSE))</f>
      </c>
      <c r="K54" s="19">
        <f t="shared" si="5"/>
      </c>
      <c r="L54" s="19">
        <f t="shared" si="6"/>
      </c>
      <c r="M54" s="19">
        <f t="shared" si="7"/>
        <v>3</v>
      </c>
      <c r="N54" s="19">
        <f t="shared" si="1"/>
      </c>
      <c r="P54" s="83"/>
      <c r="Q54" s="85"/>
      <c r="R54" s="60"/>
      <c r="S54" s="60"/>
      <c r="T54" s="60"/>
      <c r="U54" s="60"/>
      <c r="V54" s="86"/>
      <c r="W54" s="84">
        <f t="shared" si="2"/>
        <v>0</v>
      </c>
      <c r="X54" s="82">
        <f t="shared" si="8"/>
        <v>0</v>
      </c>
      <c r="Y54" s="82">
        <f>IF(ISERROR(IF(R54+Q54=0,0,VLOOKUP(N54,'Cal 2018'!$Q$1:$T$15,2,FALSE)*COUNT(R54)+VLOOKUP(N54,'Cal 2018'!$Q$1:$T$15,3,FALSE)*IF(Q54=0,0,COUNT(Q54))+VLOOKUP(N54,'Cal 2018'!$Q$1:$T$15,4,FALSE)*IF(Q54=0,0,COUNT(Q54)))),"",IF(R54+Q54=0,0,VLOOKUP(N54,'Cal 2018'!$Q$1:$T$15,2,FALSE)*COUNT(R54)+VLOOKUP(N54,'Cal 2018'!$Q$1:$T$15,3,FALSE)*IF(Q54=0,0,COUNT(Q54))+VLOOKUP(N54,'Cal 2018'!$Q$1:$T$15,4,FALSE)*IF(Q54=0,0,COUNT(Q54))))</f>
        <v>0</v>
      </c>
      <c r="Z54" s="60"/>
      <c r="AA54" s="82">
        <f>IF(H54="","",IF(Z54&gt;0,VLOOKUP(LEFT(N54,5),'Cal 2018'!$U$1:$V$3,2,FALSE)*Z54,0))</f>
        <v>0</v>
      </c>
      <c r="AB54" s="60"/>
    </row>
    <row r="55" spans="4:28" ht="15">
      <c r="D55" s="66" t="str">
        <f t="shared" si="3"/>
        <v>201808</v>
      </c>
      <c r="E55" s="66" t="str">
        <f t="shared" si="4"/>
        <v>2018Q3</v>
      </c>
      <c r="F55" s="14">
        <f>IF(ISERROR(IF(F54+1&lt;VLOOKUP($G$22,'Cal 2018'!$G$1:$K$13,5,FALSE)+1,F54+1,"")),"",IF(F54+1&lt;VLOOKUP($G$22,'Cal 2018'!$G$1:$K$13,5,FALSE)+1,F54+1,""))</f>
        <v>43342</v>
      </c>
      <c r="G55" s="9" t="str">
        <f>IF(ISERROR(VLOOKUP(WEEKDAY(F55,2),'Cal 2018'!$N$18:$O$25,2,FALSE)),"",VLOOKUP(WEEKDAY(F55,2),'Cal 2018'!$N$18:$O$25,2,FALSE))</f>
        <v>Jeudi</v>
      </c>
      <c r="H55" s="9" t="str">
        <f t="shared" si="0"/>
        <v>Semaine</v>
      </c>
      <c r="I55" s="69">
        <f>IF(ISERROR(1+INT(MIN(MOD(F55-DATE(YEAR(F55)+{-1;0;1},1,5)+WEEKDAY(DATE(YEAR(F55)+{-1;0;1},1,3)),734))/7)),"",1+INT(MIN(MOD(F55-DATE(YEAR(F55)+{-1;0;1},1,5)+WEEKDAY(DATE(YEAR(F55)+{-1;0;1},1,3)),734))/7))</f>
        <v>35</v>
      </c>
      <c r="J55" s="19">
        <f>IF(ISERROR(VLOOKUP(F55,'Cal 2018'!$B$2:$D$11,3,FALSE)),"",VLOOKUP(F55,'Cal 2018'!$B$2:$D$11,3,FALSE))</f>
      </c>
      <c r="K55" s="19">
        <f t="shared" si="5"/>
      </c>
      <c r="L55" s="19">
        <f t="shared" si="6"/>
      </c>
      <c r="M55" s="19">
        <f t="shared" si="7"/>
        <v>4</v>
      </c>
      <c r="N55" s="19">
        <f t="shared" si="1"/>
      </c>
      <c r="P55" s="83"/>
      <c r="Q55" s="85"/>
      <c r="R55" s="60"/>
      <c r="S55" s="60"/>
      <c r="T55" s="60"/>
      <c r="U55" s="60"/>
      <c r="V55" s="86"/>
      <c r="W55" s="84">
        <f t="shared" si="2"/>
        <v>0</v>
      </c>
      <c r="X55" s="82">
        <f t="shared" si="8"/>
        <v>0</v>
      </c>
      <c r="Y55" s="82">
        <f>IF(ISERROR(IF(R55+Q55=0,0,VLOOKUP(N55,'Cal 2018'!$Q$1:$T$15,2,FALSE)*COUNT(R55)+VLOOKUP(N55,'Cal 2018'!$Q$1:$T$15,3,FALSE)*IF(Q55=0,0,COUNT(Q55))+VLOOKUP(N55,'Cal 2018'!$Q$1:$T$15,4,FALSE)*IF(Q55=0,0,COUNT(Q55)))),"",IF(R55+Q55=0,0,VLOOKUP(N55,'Cal 2018'!$Q$1:$T$15,2,FALSE)*COUNT(R55)+VLOOKUP(N55,'Cal 2018'!$Q$1:$T$15,3,FALSE)*IF(Q55=0,0,COUNT(Q55))+VLOOKUP(N55,'Cal 2018'!$Q$1:$T$15,4,FALSE)*IF(Q55=0,0,COUNT(Q55))))</f>
        <v>0</v>
      </c>
      <c r="Z55" s="60"/>
      <c r="AA55" s="82">
        <f>IF(H55="","",IF(Z55&gt;0,VLOOKUP(LEFT(N55,5),'Cal 2018'!$U$1:$V$3,2,FALSE)*Z55,0))</f>
        <v>0</v>
      </c>
      <c r="AB55" s="60"/>
    </row>
    <row r="56" spans="4:28" ht="15.75" thickBot="1">
      <c r="D56" s="66" t="str">
        <f t="shared" si="3"/>
        <v>201808</v>
      </c>
      <c r="E56" s="66" t="str">
        <f t="shared" si="4"/>
        <v>2018Q3</v>
      </c>
      <c r="F56" s="14">
        <f>IF(ISERROR(IF(F55+1&lt;VLOOKUP($G$22,'Cal 2018'!$G$1:$K$13,5,FALSE)+1,F55+1,"")),"",IF(F55+1&lt;VLOOKUP($G$22,'Cal 2018'!$G$1:$K$13,5,FALSE)+1,F55+1,""))</f>
        <v>43343</v>
      </c>
      <c r="G56" s="9" t="str">
        <f>IF(ISERROR(VLOOKUP(WEEKDAY(F56,2),'Cal 2018'!$N$18:$O$25,2,FALSE)),"",VLOOKUP(WEEKDAY(F56,2),'Cal 2018'!$N$18:$O$25,2,FALSE))</f>
        <v>Vendredi</v>
      </c>
      <c r="H56" s="9" t="str">
        <f t="shared" si="0"/>
        <v>Semaine</v>
      </c>
      <c r="I56" s="69">
        <f>IF(ISERROR(1+INT(MIN(MOD(F56-DATE(YEAR(F56)+{-1;0;1},1,5)+WEEKDAY(DATE(YEAR(F56)+{-1;0;1},1,3)),734))/7)),"",1+INT(MIN(MOD(F56-DATE(YEAR(F56)+{-1;0;1},1,5)+WEEKDAY(DATE(YEAR(F56)+{-1;0;1},1,3)),734))/7))</f>
        <v>35</v>
      </c>
      <c r="J56" s="19">
        <f>IF(ISERROR(VLOOKUP(F56,'Cal 2018'!$B$2:$D$11,3,FALSE)),"",VLOOKUP(F56,'Cal 2018'!$B$2:$D$11,3,FALSE))</f>
      </c>
      <c r="K56" s="19">
        <f t="shared" si="5"/>
      </c>
      <c r="L56" s="19">
        <f t="shared" si="6"/>
      </c>
      <c r="M56" s="19">
        <f t="shared" si="7"/>
        <v>5</v>
      </c>
      <c r="N56" s="19">
        <f t="shared" si="1"/>
      </c>
      <c r="P56" s="83"/>
      <c r="Q56" s="87"/>
      <c r="R56" s="88"/>
      <c r="S56" s="88"/>
      <c r="T56" s="88"/>
      <c r="U56" s="88"/>
      <c r="V56" s="89"/>
      <c r="W56" s="84">
        <f t="shared" si="2"/>
        <v>0</v>
      </c>
      <c r="X56" s="82">
        <f t="shared" si="8"/>
        <v>0</v>
      </c>
      <c r="Y56" s="82">
        <f>IF(ISERROR(IF(R56+Q56=0,0,VLOOKUP(N56,'Cal 2018'!$Q$1:$T$15,2,FALSE)*COUNT(R56)+VLOOKUP(N56,'Cal 2018'!$Q$1:$T$15,3,FALSE)*IF(Q56=0,0,COUNT(Q56))+VLOOKUP(N56,'Cal 2018'!$Q$1:$T$15,4,FALSE)*IF(Q56=0,0,COUNT(Q56)))),"",IF(R56+Q56=0,0,VLOOKUP(N56,'Cal 2018'!$Q$1:$T$15,2,FALSE)*COUNT(R56)+VLOOKUP(N56,'Cal 2018'!$Q$1:$T$15,3,FALSE)*IF(Q56=0,0,COUNT(Q56))+VLOOKUP(N56,'Cal 2018'!$Q$1:$T$15,4,FALSE)*IF(Q56=0,0,COUNT(Q56))))</f>
        <v>0</v>
      </c>
      <c r="Z56" s="60"/>
      <c r="AA56" s="82">
        <f>IF(H56="","",IF(Z56&gt;0,VLOOKUP(LEFT(N56,5),'Cal 2018'!$U$1:$V$3,2,FALSE)*Z56,0))</f>
        <v>0</v>
      </c>
      <c r="AB56" s="60"/>
    </row>
    <row r="58" spans="24:28" ht="15">
      <c r="X58" s="171" t="s">
        <v>120</v>
      </c>
      <c r="Y58" s="172"/>
      <c r="Z58" s="171" t="s">
        <v>183</v>
      </c>
      <c r="AA58" s="172"/>
      <c r="AB58" s="69" t="s">
        <v>140</v>
      </c>
    </row>
    <row r="59" spans="24:28" ht="15">
      <c r="X59" s="173">
        <f>SUM(X26:X56)</f>
        <v>0</v>
      </c>
      <c r="Y59" s="173"/>
      <c r="Z59" s="173">
        <f>SUM(Y26:Y56)</f>
        <v>0</v>
      </c>
      <c r="AA59" s="173"/>
      <c r="AB59" s="75">
        <f>SUM(AA26:AA56)</f>
        <v>0</v>
      </c>
    </row>
  </sheetData>
  <sheetProtection password="EFE9" sheet="1"/>
  <mergeCells count="6">
    <mergeCell ref="F6:G6"/>
    <mergeCell ref="AJ1:AL1"/>
    <mergeCell ref="Z58:AA58"/>
    <mergeCell ref="X58:Y58"/>
    <mergeCell ref="X59:Y59"/>
    <mergeCell ref="Z59:AA59"/>
  </mergeCells>
  <conditionalFormatting sqref="AU2 G12:H14 G8:H9 R12:R14">
    <cfRule type="expression" priority="22" dxfId="1" stopIfTrue="1">
      <formula>ISBLANK(G2)</formula>
    </cfRule>
  </conditionalFormatting>
  <conditionalFormatting sqref="R9">
    <cfRule type="cellIs" priority="12" dxfId="1" operator="notEqual">
      <formula>"OK"</formula>
    </cfRule>
    <cfRule type="cellIs" priority="13" dxfId="6" operator="equal">
      <formula>"OK"</formula>
    </cfRule>
    <cfRule type="expression" priority="14" dxfId="1" stopIfTrue="1">
      <formula>ISBLANK(R9)</formula>
    </cfRule>
  </conditionalFormatting>
  <conditionalFormatting sqref="G26:H56">
    <cfRule type="cellIs" priority="11" dxfId="9" operator="equal">
      <formula>"Dimanche"</formula>
    </cfRule>
  </conditionalFormatting>
  <conditionalFormatting sqref="G26:H56">
    <cfRule type="cellIs" priority="10" dxfId="10" operator="equal">
      <formula>"Férié"</formula>
    </cfRule>
  </conditionalFormatting>
  <conditionalFormatting sqref="G26:H56">
    <cfRule type="cellIs" priority="9" dxfId="11" operator="equal">
      <formula>"Samedi"</formula>
    </cfRule>
  </conditionalFormatting>
  <conditionalFormatting sqref="P26:AB56">
    <cfRule type="expression" priority="3" dxfId="2">
      <formula>OR($G26="Samedi",$G26="Dimanche",$G26="Férié")</formula>
    </cfRule>
  </conditionalFormatting>
  <conditionalFormatting sqref="G10:G11">
    <cfRule type="expression" priority="1" dxfId="1" stopIfTrue="1">
      <formula>ISBLANK(G10)</formula>
    </cfRule>
  </conditionalFormatting>
  <dataValidations count="8">
    <dataValidation type="list" showInputMessage="1" showErrorMessage="1" sqref="G22:O22">
      <formula1>$AN$1:$AN$13</formula1>
    </dataValidation>
    <dataValidation type="textLength" allowBlank="1" showInputMessage="1" showErrorMessage="1" prompt="Merci de saisir votre nom&#10;" sqref="G8:O8">
      <formula1>1</formula1>
      <formula2>155</formula2>
    </dataValidation>
    <dataValidation type="textLength" showInputMessage="1" showErrorMessage="1" prompt="Merci de saisir votre prenom&#10;" sqref="G9:O9">
      <formula1>1</formula1>
      <formula2>155</formula2>
    </dataValidation>
    <dataValidation type="list" allowBlank="1" showInputMessage="1" showErrorMessage="1" prompt="Merci de sélectionner dans la liste." sqref="T26:T56">
      <formula1>$AS$2:$AS$3</formula1>
    </dataValidation>
    <dataValidation type="list" showInputMessage="1" showErrorMessage="1" prompt="Merci de sélectionner dans la liste" sqref="G13:O14">
      <formula1>$AS$2:$AS$3</formula1>
    </dataValidation>
    <dataValidation type="list" allowBlank="1" showInputMessage="1" showErrorMessage="1" sqref="J18:O18">
      <formula1>$AU$2:$AU$31</formula1>
    </dataValidation>
    <dataValidation type="list" allowBlank="1" showInputMessage="1" showErrorMessage="1" sqref="S14">
      <formula1>$AU$2:$AU$30</formula1>
    </dataValidation>
    <dataValidation type="list" showInputMessage="1" showErrorMessage="1" prompt="Merci de choisir votre spécialité" sqref="G12:O12">
      <formula1>$AP$2:$AP$3</formula1>
    </dataValidation>
  </dataValidations>
  <printOptions/>
  <pageMargins left="0.7" right="0.7" top="0.75" bottom="0.75" header="0.3" footer="0.3"/>
  <pageSetup fitToHeight="1" fitToWidth="1" horizontalDpi="600" verticalDpi="600" orientation="landscape" paperSize="9" scale="58" r:id="rId4"/>
  <drawing r:id="rId3"/>
  <legacyDrawing r:id="rId2"/>
</worksheet>
</file>

<file path=xl/worksheets/sheet2.xml><?xml version="1.0" encoding="utf-8"?>
<worksheet xmlns="http://schemas.openxmlformats.org/spreadsheetml/2006/main" xmlns:r="http://schemas.openxmlformats.org/officeDocument/2006/relationships">
  <sheetPr codeName="Feuil5">
    <pageSetUpPr fitToPage="1"/>
  </sheetPr>
  <dimension ref="A1:J78"/>
  <sheetViews>
    <sheetView showGridLines="0" zoomScale="60" zoomScaleNormal="60" workbookViewId="0" topLeftCell="A1">
      <selection activeCell="C3" sqref="C3"/>
    </sheetView>
  </sheetViews>
  <sheetFormatPr defaultColWidth="11.421875" defaultRowHeight="15"/>
  <cols>
    <col min="4" max="4" width="63.7109375" style="0" customWidth="1"/>
    <col min="5" max="5" width="42.28125" style="0" customWidth="1"/>
    <col min="6" max="6" width="11.7109375" style="0" customWidth="1"/>
    <col min="7" max="7" width="33.00390625" style="0" customWidth="1"/>
    <col min="8" max="8" width="15.140625" style="0" customWidth="1"/>
    <col min="9" max="9" width="27.57421875" style="0" customWidth="1"/>
  </cols>
  <sheetData>
    <row r="1" spans="1:4" ht="69.75" customHeight="1">
      <c r="A1" s="20"/>
      <c r="B1" s="20"/>
      <c r="C1" s="20"/>
      <c r="D1" s="20"/>
    </row>
    <row r="2" spans="1:10" ht="69.75" customHeight="1">
      <c r="A2" s="20"/>
      <c r="B2" s="20"/>
      <c r="C2" s="20"/>
      <c r="D2" s="20"/>
      <c r="E2" s="178" t="s">
        <v>148</v>
      </c>
      <c r="F2" s="179"/>
      <c r="G2" s="179"/>
      <c r="H2" s="179"/>
      <c r="I2" s="179"/>
      <c r="J2" s="179"/>
    </row>
    <row r="3" spans="1:10" ht="69.75" customHeight="1">
      <c r="A3" s="20"/>
      <c r="B3" s="20"/>
      <c r="C3" s="20"/>
      <c r="D3" s="20"/>
      <c r="E3" s="95"/>
      <c r="F3" s="96"/>
      <c r="G3" s="96"/>
      <c r="H3" s="96"/>
      <c r="I3" s="96"/>
      <c r="J3" s="96"/>
    </row>
    <row r="4" spans="1:10" ht="28.5">
      <c r="A4" s="98"/>
      <c r="B4" s="98"/>
      <c r="C4" s="98"/>
      <c r="D4" s="98"/>
      <c r="E4" s="180"/>
      <c r="F4" s="180"/>
      <c r="G4" s="180"/>
      <c r="H4" s="180"/>
      <c r="I4" s="99"/>
      <c r="J4" s="99"/>
    </row>
    <row r="5" spans="1:10" ht="30">
      <c r="A5" s="181" t="str">
        <f>"Paiement des gardes des assistants candidats-spécialistes en "&amp;Encodage!G12</f>
        <v>Paiement des gardes des assistants candidats-spécialistes en </v>
      </c>
      <c r="B5" s="181"/>
      <c r="C5" s="181"/>
      <c r="D5" s="181"/>
      <c r="E5" s="181"/>
      <c r="F5" s="181"/>
      <c r="G5" s="181"/>
      <c r="H5" s="181"/>
      <c r="I5" s="181"/>
      <c r="J5" s="181"/>
    </row>
    <row r="6" spans="1:10" ht="30">
      <c r="A6" s="181" t="s">
        <v>168</v>
      </c>
      <c r="B6" s="181"/>
      <c r="C6" s="181"/>
      <c r="D6" s="181"/>
      <c r="E6" s="181"/>
      <c r="F6" s="181"/>
      <c r="G6" s="181"/>
      <c r="H6" s="181"/>
      <c r="I6" s="181"/>
      <c r="J6" s="181"/>
    </row>
    <row r="7" spans="1:10" ht="27.75">
      <c r="A7" s="97"/>
      <c r="B7" s="97"/>
      <c r="C7" s="97"/>
      <c r="D7" s="97"/>
      <c r="E7" s="97"/>
      <c r="F7" s="97"/>
      <c r="G7" s="97"/>
      <c r="H7" s="97"/>
      <c r="I7" s="97"/>
      <c r="J7" s="97"/>
    </row>
    <row r="8" spans="1:10" ht="23.25">
      <c r="A8" s="94"/>
      <c r="B8" s="94"/>
      <c r="C8" s="94"/>
      <c r="D8" s="94"/>
      <c r="E8" s="94"/>
      <c r="F8" s="94"/>
      <c r="G8" s="94"/>
      <c r="H8" s="94"/>
      <c r="I8" s="94"/>
      <c r="J8" s="94"/>
    </row>
    <row r="9" spans="1:10" ht="23.25">
      <c r="A9" s="94"/>
      <c r="B9" s="94"/>
      <c r="C9" s="94"/>
      <c r="D9" s="94"/>
      <c r="E9" s="94"/>
      <c r="F9" s="94"/>
      <c r="G9" s="94"/>
      <c r="H9" s="94"/>
      <c r="I9" s="94"/>
      <c r="J9" s="94"/>
    </row>
    <row r="10" spans="1:10" ht="23.25">
      <c r="A10" s="94"/>
      <c r="B10" s="94"/>
      <c r="C10" s="94"/>
      <c r="D10" s="94"/>
      <c r="E10" s="94"/>
      <c r="F10" s="94"/>
      <c r="G10" s="94"/>
      <c r="H10" s="94"/>
      <c r="I10" s="94"/>
      <c r="J10" s="94"/>
    </row>
    <row r="11" spans="1:10" ht="18.75">
      <c r="A11" s="61"/>
      <c r="B11" s="61"/>
      <c r="C11" s="61"/>
      <c r="D11" s="61"/>
      <c r="E11" s="61"/>
      <c r="F11" s="61"/>
      <c r="G11" s="61"/>
      <c r="H11" s="61"/>
      <c r="I11" s="61"/>
      <c r="J11" s="61"/>
    </row>
    <row r="12" spans="1:10" ht="18.75">
      <c r="A12" s="61"/>
      <c r="B12" s="61"/>
      <c r="C12" s="61"/>
      <c r="D12" s="61"/>
      <c r="E12" s="61"/>
      <c r="F12" s="61"/>
      <c r="G12" s="61"/>
      <c r="H12" s="61"/>
      <c r="I12" s="61"/>
      <c r="J12" s="61"/>
    </row>
    <row r="13" spans="1:10" ht="20.25">
      <c r="A13" s="90"/>
      <c r="B13" s="90"/>
      <c r="C13" s="90"/>
      <c r="D13" s="90"/>
      <c r="E13" s="90"/>
      <c r="F13" s="90"/>
      <c r="G13" s="91"/>
      <c r="H13" s="182"/>
      <c r="I13" s="182"/>
      <c r="J13" s="182"/>
    </row>
    <row r="14" spans="1:10" ht="27">
      <c r="A14" s="92"/>
      <c r="B14" s="92"/>
      <c r="C14" s="92"/>
      <c r="D14" s="92"/>
      <c r="E14" s="92"/>
      <c r="F14" s="92"/>
      <c r="G14" s="114"/>
      <c r="H14" s="177"/>
      <c r="I14" s="177"/>
      <c r="J14" s="177"/>
    </row>
    <row r="15" spans="1:10" ht="27.75">
      <c r="A15" s="92"/>
      <c r="B15" s="184" t="s">
        <v>129</v>
      </c>
      <c r="C15" s="185"/>
      <c r="D15" s="185"/>
      <c r="E15" s="186"/>
      <c r="F15" s="92"/>
      <c r="G15" s="114" t="s">
        <v>130</v>
      </c>
      <c r="H15" s="177">
        <f ca="1">TODAY()</f>
        <v>43378</v>
      </c>
      <c r="I15" s="177"/>
      <c r="J15" s="177"/>
    </row>
    <row r="16" spans="1:10" ht="28.5">
      <c r="A16" s="92"/>
      <c r="B16" s="115" t="s">
        <v>131</v>
      </c>
      <c r="C16" s="116"/>
      <c r="D16" s="117"/>
      <c r="E16" s="118">
        <f>Encodage!G8</f>
        <v>0</v>
      </c>
      <c r="F16" s="92"/>
      <c r="G16" s="98"/>
      <c r="H16" s="98"/>
      <c r="I16" s="136"/>
      <c r="J16" s="136"/>
    </row>
    <row r="17" spans="1:10" ht="28.5">
      <c r="A17" s="92"/>
      <c r="B17" s="115" t="s">
        <v>132</v>
      </c>
      <c r="C17" s="116"/>
      <c r="D17" s="117"/>
      <c r="E17" s="118">
        <f>Encodage!G9</f>
        <v>0</v>
      </c>
      <c r="F17" s="92"/>
      <c r="G17" s="114" t="s">
        <v>186</v>
      </c>
      <c r="H17" s="177" t="str">
        <f>Encodage!G22&amp;"  "&amp;YEAR(Encodage!F26)</f>
        <v>Août  2018</v>
      </c>
      <c r="I17" s="177"/>
      <c r="J17" s="177"/>
    </row>
    <row r="18" spans="1:10" ht="27">
      <c r="A18" s="92"/>
      <c r="B18" s="187" t="s">
        <v>61</v>
      </c>
      <c r="C18" s="188"/>
      <c r="D18" s="188"/>
      <c r="E18" s="119">
        <f>Encodage!G13</f>
        <v>0</v>
      </c>
      <c r="F18" s="92"/>
      <c r="G18" s="98"/>
      <c r="H18" s="98"/>
      <c r="I18" s="136"/>
      <c r="J18" s="136"/>
    </row>
    <row r="19" spans="1:10" ht="27.75">
      <c r="A19" s="92"/>
      <c r="B19" s="187" t="s">
        <v>62</v>
      </c>
      <c r="C19" s="188"/>
      <c r="D19" s="188"/>
      <c r="E19" s="119">
        <f>Encodage!G14</f>
        <v>0</v>
      </c>
      <c r="F19" s="92"/>
      <c r="G19" s="92"/>
      <c r="H19" s="92"/>
      <c r="I19" s="93"/>
      <c r="J19" s="93"/>
    </row>
    <row r="20" spans="1:10" ht="27.75">
      <c r="A20" s="92"/>
      <c r="B20" s="189" t="s">
        <v>133</v>
      </c>
      <c r="C20" s="190"/>
      <c r="D20" s="190"/>
      <c r="E20" s="118">
        <f>Encodage!R13</f>
        <v>0</v>
      </c>
      <c r="F20" s="92"/>
      <c r="G20" s="92"/>
      <c r="H20" s="92"/>
      <c r="I20" s="93"/>
      <c r="J20" s="93"/>
    </row>
    <row r="21" spans="1:10" ht="27.75">
      <c r="A21" s="92"/>
      <c r="B21" s="187" t="s">
        <v>134</v>
      </c>
      <c r="C21" s="188"/>
      <c r="D21" s="188"/>
      <c r="E21" s="119">
        <f>Encodage!R12</f>
        <v>0</v>
      </c>
      <c r="F21" s="92"/>
      <c r="G21" s="92"/>
      <c r="H21" s="92"/>
      <c r="I21" s="93"/>
      <c r="J21" s="93"/>
    </row>
    <row r="22" spans="1:10" ht="27.75">
      <c r="A22" s="93"/>
      <c r="B22" s="191" t="s">
        <v>135</v>
      </c>
      <c r="C22" s="192"/>
      <c r="D22" s="192"/>
      <c r="E22" s="119">
        <f>Encodage!R14</f>
        <v>0</v>
      </c>
      <c r="F22" s="93"/>
      <c r="G22" s="93"/>
      <c r="H22" s="93"/>
      <c r="I22" s="93"/>
      <c r="J22" s="93"/>
    </row>
    <row r="23" spans="1:10" ht="27.75">
      <c r="A23" s="93"/>
      <c r="B23" s="163" t="str">
        <f>Encodage!$F$10</f>
        <v>Matricule Saint-Luc</v>
      </c>
      <c r="C23" s="164"/>
      <c r="D23" s="164"/>
      <c r="E23" s="165">
        <f>Encodage!$G$10</f>
        <v>0</v>
      </c>
      <c r="F23" s="93"/>
      <c r="G23" s="93"/>
      <c r="H23" s="93"/>
      <c r="I23" s="93"/>
      <c r="J23" s="93"/>
    </row>
    <row r="24" spans="1:10" ht="26.25">
      <c r="A24" s="93"/>
      <c r="B24" s="93"/>
      <c r="C24" s="93"/>
      <c r="D24" s="93"/>
      <c r="E24" s="93"/>
      <c r="F24" s="93"/>
      <c r="G24" s="93"/>
      <c r="H24" s="93"/>
      <c r="I24" s="93"/>
      <c r="J24" s="93"/>
    </row>
    <row r="25" spans="1:10" ht="26.25">
      <c r="A25" s="93"/>
      <c r="B25" s="93"/>
      <c r="C25" s="93"/>
      <c r="D25" s="93"/>
      <c r="E25" s="100"/>
      <c r="F25" s="93"/>
      <c r="G25" s="93"/>
      <c r="H25" s="93"/>
      <c r="I25" s="93"/>
      <c r="J25" s="93"/>
    </row>
    <row r="26" spans="1:10" ht="26.25">
      <c r="A26" s="93"/>
      <c r="B26" s="93"/>
      <c r="C26" s="93"/>
      <c r="D26" s="93"/>
      <c r="E26" s="100"/>
      <c r="F26" s="93"/>
      <c r="G26" s="93"/>
      <c r="H26" s="93"/>
      <c r="I26" s="93"/>
      <c r="J26" s="93"/>
    </row>
    <row r="27" spans="1:10" ht="26.25">
      <c r="A27" s="93"/>
      <c r="B27" s="93"/>
      <c r="C27" s="93"/>
      <c r="D27" s="93"/>
      <c r="E27" s="100"/>
      <c r="F27" s="93"/>
      <c r="G27" s="93"/>
      <c r="H27" s="93"/>
      <c r="I27" s="93"/>
      <c r="J27" s="93"/>
    </row>
    <row r="28" spans="1:10" ht="26.25">
      <c r="A28" s="93"/>
      <c r="B28" s="93"/>
      <c r="C28" s="93"/>
      <c r="D28" s="93"/>
      <c r="E28" s="93"/>
      <c r="F28" s="93"/>
      <c r="G28" s="93"/>
      <c r="H28" s="93"/>
      <c r="I28" s="93"/>
      <c r="J28" s="93"/>
    </row>
    <row r="29" spans="1:10" ht="26.25">
      <c r="A29" s="93"/>
      <c r="B29" s="93"/>
      <c r="C29" s="93"/>
      <c r="D29" s="93"/>
      <c r="E29" s="93"/>
      <c r="F29" s="93"/>
      <c r="G29" s="100"/>
      <c r="H29" s="100"/>
      <c r="I29" s="100"/>
      <c r="J29" s="100"/>
    </row>
    <row r="30" spans="1:10" ht="27.75">
      <c r="A30" s="93"/>
      <c r="B30" s="193" t="s">
        <v>136</v>
      </c>
      <c r="C30" s="194"/>
      <c r="D30" s="194"/>
      <c r="E30" s="195"/>
      <c r="F30" s="93"/>
      <c r="G30" s="175"/>
      <c r="H30" s="175"/>
      <c r="I30" s="175"/>
      <c r="J30" s="100"/>
    </row>
    <row r="31" spans="1:10" ht="27.75">
      <c r="A31" s="93"/>
      <c r="B31" s="120" t="s">
        <v>137</v>
      </c>
      <c r="C31" s="121"/>
      <c r="D31" s="121"/>
      <c r="E31" s="122">
        <f>Encodage!Z59</f>
        <v>0</v>
      </c>
      <c r="F31" s="93"/>
      <c r="G31" s="156"/>
      <c r="H31" s="176"/>
      <c r="I31" s="176"/>
      <c r="J31" s="100"/>
    </row>
    <row r="32" spans="1:10" ht="27.75">
      <c r="A32" s="93"/>
      <c r="B32" s="123"/>
      <c r="C32" s="124"/>
      <c r="D32" s="124"/>
      <c r="E32" s="125"/>
      <c r="F32" s="93"/>
      <c r="G32" s="156"/>
      <c r="H32" s="156"/>
      <c r="I32" s="156"/>
      <c r="J32" s="100"/>
    </row>
    <row r="33" spans="1:10" ht="27.75">
      <c r="A33" s="93"/>
      <c r="B33" s="123" t="s">
        <v>154</v>
      </c>
      <c r="C33" s="124"/>
      <c r="D33" s="124"/>
      <c r="E33" s="125">
        <f>Encodage!X59</f>
        <v>0</v>
      </c>
      <c r="F33" s="93"/>
      <c r="G33" s="156"/>
      <c r="H33" s="156"/>
      <c r="I33" s="156"/>
      <c r="J33" s="100"/>
    </row>
    <row r="34" spans="1:10" ht="27.75">
      <c r="A34" s="93"/>
      <c r="B34" s="123"/>
      <c r="C34" s="124"/>
      <c r="D34" s="124"/>
      <c r="E34" s="125"/>
      <c r="F34" s="93"/>
      <c r="G34" s="156"/>
      <c r="H34" s="156"/>
      <c r="I34" s="156"/>
      <c r="J34" s="100"/>
    </row>
    <row r="35" spans="1:10" ht="27.75">
      <c r="A35" s="93"/>
      <c r="B35" s="126" t="s">
        <v>138</v>
      </c>
      <c r="C35" s="127"/>
      <c r="D35" s="128"/>
      <c r="E35" s="129">
        <f>E33+E31</f>
        <v>0</v>
      </c>
      <c r="F35" s="93"/>
      <c r="G35" s="156"/>
      <c r="H35" s="156"/>
      <c r="I35" s="156"/>
      <c r="J35" s="100"/>
    </row>
    <row r="36" spans="1:10" ht="27.75">
      <c r="A36" s="93"/>
      <c r="B36" s="130" t="s">
        <v>158</v>
      </c>
      <c r="C36" s="124"/>
      <c r="D36" s="124"/>
      <c r="E36" s="125"/>
      <c r="F36" s="93"/>
      <c r="G36" s="156"/>
      <c r="H36" s="156"/>
      <c r="I36" s="156"/>
      <c r="J36" s="100"/>
    </row>
    <row r="37" spans="1:10" ht="27.75">
      <c r="A37" s="93"/>
      <c r="B37" s="123"/>
      <c r="C37" s="124"/>
      <c r="D37" s="124"/>
      <c r="E37" s="125"/>
      <c r="F37" s="93"/>
      <c r="G37" s="156"/>
      <c r="H37" s="156"/>
      <c r="I37" s="156"/>
      <c r="J37" s="100"/>
    </row>
    <row r="38" spans="1:10" ht="27.75">
      <c r="A38" s="93"/>
      <c r="B38" s="126" t="s">
        <v>185</v>
      </c>
      <c r="C38" s="128"/>
      <c r="D38" s="128"/>
      <c r="E38" s="129">
        <f>Encodage!AB59</f>
        <v>0</v>
      </c>
      <c r="F38" s="93"/>
      <c r="G38" s="156"/>
      <c r="H38" s="156"/>
      <c r="I38" s="156"/>
      <c r="J38" s="100"/>
    </row>
    <row r="39" spans="1:10" ht="27.75">
      <c r="A39" s="93"/>
      <c r="B39" s="130" t="s">
        <v>159</v>
      </c>
      <c r="C39" s="128"/>
      <c r="D39" s="128"/>
      <c r="E39" s="131"/>
      <c r="F39" s="93"/>
      <c r="G39" s="156"/>
      <c r="H39" s="156"/>
      <c r="I39" s="156"/>
      <c r="J39" s="100"/>
    </row>
    <row r="40" spans="1:10" ht="27.75">
      <c r="A40" s="93"/>
      <c r="B40" s="123"/>
      <c r="C40" s="124"/>
      <c r="D40" s="124"/>
      <c r="E40" s="132"/>
      <c r="F40" s="93"/>
      <c r="G40" s="100"/>
      <c r="H40" s="100"/>
      <c r="I40" s="100"/>
      <c r="J40" s="100"/>
    </row>
    <row r="41" spans="1:10" ht="27.75">
      <c r="A41" s="93"/>
      <c r="B41" s="123" t="s">
        <v>83</v>
      </c>
      <c r="C41" s="124"/>
      <c r="D41" s="124"/>
      <c r="E41" s="132">
        <f>SUM(Encodage!Z26:Z56)</f>
        <v>0</v>
      </c>
      <c r="F41" s="93"/>
      <c r="G41" s="100"/>
      <c r="H41" s="100"/>
      <c r="I41" s="100"/>
      <c r="J41" s="100"/>
    </row>
    <row r="42" spans="1:10" ht="27.75">
      <c r="A42" s="93"/>
      <c r="B42" s="123"/>
      <c r="C42" s="124"/>
      <c r="D42" s="124"/>
      <c r="E42" s="132"/>
      <c r="F42" s="93"/>
      <c r="G42" s="93"/>
      <c r="H42" s="93"/>
      <c r="I42" s="93"/>
      <c r="J42" s="93"/>
    </row>
    <row r="43" spans="1:10" ht="27.75">
      <c r="A43" s="93"/>
      <c r="B43" s="133" t="s">
        <v>139</v>
      </c>
      <c r="C43" s="134"/>
      <c r="D43" s="134"/>
      <c r="E43" s="135">
        <f>E35+E38</f>
        <v>0</v>
      </c>
      <c r="F43" s="93"/>
      <c r="G43" s="93"/>
      <c r="H43" s="93"/>
      <c r="I43" s="93"/>
      <c r="J43" s="93"/>
    </row>
    <row r="44" spans="1:10" ht="17.25" customHeight="1">
      <c r="A44" s="93"/>
      <c r="B44" s="93"/>
      <c r="C44" s="93"/>
      <c r="D44" s="93"/>
      <c r="E44" s="93"/>
      <c r="F44" s="93"/>
      <c r="G44" s="93"/>
      <c r="H44" s="93"/>
      <c r="I44" s="93"/>
      <c r="J44" s="93"/>
    </row>
    <row r="45" spans="1:10" ht="33.75" customHeight="1">
      <c r="A45" s="93"/>
      <c r="B45" s="93"/>
      <c r="C45" s="93"/>
      <c r="D45" s="93"/>
      <c r="E45" s="93"/>
      <c r="F45" s="93"/>
      <c r="G45" s="93"/>
      <c r="H45" s="93"/>
      <c r="I45" s="93"/>
      <c r="J45" s="93"/>
    </row>
    <row r="46" spans="1:10" ht="26.25" customHeight="1">
      <c r="A46" s="139"/>
      <c r="B46" s="174" t="s">
        <v>187</v>
      </c>
      <c r="C46" s="174"/>
      <c r="D46" s="174"/>
      <c r="E46" s="174"/>
      <c r="F46" s="174"/>
      <c r="G46" s="174"/>
      <c r="H46" s="174"/>
      <c r="I46" s="174"/>
      <c r="J46" s="174"/>
    </row>
    <row r="47" spans="1:10" ht="26.25">
      <c r="A47" s="139"/>
      <c r="B47" s="174"/>
      <c r="C47" s="174"/>
      <c r="D47" s="174"/>
      <c r="E47" s="174"/>
      <c r="F47" s="174"/>
      <c r="G47" s="174"/>
      <c r="H47" s="174"/>
      <c r="I47" s="174"/>
      <c r="J47" s="174"/>
    </row>
    <row r="48" spans="1:10" ht="26.25">
      <c r="A48" s="139"/>
      <c r="B48" s="174"/>
      <c r="C48" s="174"/>
      <c r="D48" s="174"/>
      <c r="E48" s="174"/>
      <c r="F48" s="174"/>
      <c r="G48" s="174"/>
      <c r="H48" s="174"/>
      <c r="I48" s="174"/>
      <c r="J48" s="174"/>
    </row>
    <row r="49" spans="1:10" ht="26.25">
      <c r="A49" s="93"/>
      <c r="B49" s="93"/>
      <c r="C49" s="93"/>
      <c r="D49" s="93"/>
      <c r="E49" s="93"/>
      <c r="F49" s="93"/>
      <c r="G49" s="93"/>
      <c r="H49" s="93"/>
      <c r="I49" s="93"/>
      <c r="J49" s="93"/>
    </row>
    <row r="50" spans="1:10" ht="26.25">
      <c r="A50" s="93"/>
      <c r="B50" s="93"/>
      <c r="C50" s="93"/>
      <c r="D50" s="93"/>
      <c r="E50" s="93"/>
      <c r="F50" s="93"/>
      <c r="G50" s="93"/>
      <c r="H50" s="93"/>
      <c r="I50" s="93"/>
      <c r="J50" s="93"/>
    </row>
    <row r="51" spans="1:10" ht="26.25">
      <c r="A51" s="93"/>
      <c r="B51" s="93"/>
      <c r="C51" s="93"/>
      <c r="D51" s="93"/>
      <c r="E51" s="93"/>
      <c r="F51" s="93"/>
      <c r="G51" s="93"/>
      <c r="H51" s="93"/>
      <c r="I51" s="93"/>
      <c r="J51" s="93"/>
    </row>
    <row r="52" spans="1:10" ht="26.25">
      <c r="A52" s="93"/>
      <c r="B52" s="93"/>
      <c r="C52" s="93"/>
      <c r="D52" s="93"/>
      <c r="E52" s="93"/>
      <c r="F52" s="93"/>
      <c r="G52" s="93"/>
      <c r="H52" s="93"/>
      <c r="I52" s="93"/>
      <c r="J52" s="93"/>
    </row>
    <row r="53" spans="1:10" ht="26.25">
      <c r="A53" s="93"/>
      <c r="B53" s="93"/>
      <c r="C53" s="93"/>
      <c r="D53" s="93"/>
      <c r="E53" s="93"/>
      <c r="F53" s="93"/>
      <c r="G53" s="93"/>
      <c r="H53" s="93"/>
      <c r="I53" s="93"/>
      <c r="J53" s="93"/>
    </row>
    <row r="54" spans="1:10" ht="26.25">
      <c r="A54" s="93"/>
      <c r="B54" s="93"/>
      <c r="C54" s="93"/>
      <c r="D54" s="93"/>
      <c r="E54" s="93"/>
      <c r="F54" s="93"/>
      <c r="G54" s="93"/>
      <c r="H54" s="93"/>
      <c r="I54" s="93"/>
      <c r="J54" s="93"/>
    </row>
    <row r="55" spans="1:10" ht="27.75">
      <c r="A55" s="93"/>
      <c r="B55" s="136"/>
      <c r="C55" s="136"/>
      <c r="D55" s="136"/>
      <c r="E55" s="136"/>
      <c r="F55" s="136"/>
      <c r="G55" s="136"/>
      <c r="H55" s="136"/>
      <c r="I55" s="136"/>
      <c r="J55" s="93"/>
    </row>
    <row r="56" spans="1:10" ht="27.75">
      <c r="A56" s="93"/>
      <c r="B56" s="136"/>
      <c r="C56" s="136"/>
      <c r="D56" s="136"/>
      <c r="E56" s="136"/>
      <c r="F56" s="136"/>
      <c r="G56" s="136"/>
      <c r="H56" s="136"/>
      <c r="I56" s="136"/>
      <c r="J56" s="93"/>
    </row>
    <row r="57" spans="1:10" ht="27.75">
      <c r="A57" s="93"/>
      <c r="B57" s="136" t="s">
        <v>90</v>
      </c>
      <c r="C57" s="136"/>
      <c r="D57" s="136"/>
      <c r="E57" s="136"/>
      <c r="F57" s="136"/>
      <c r="G57" s="136" t="s">
        <v>91</v>
      </c>
      <c r="H57" s="136"/>
      <c r="I57" s="136"/>
      <c r="J57" s="93"/>
    </row>
    <row r="58" spans="1:10" ht="27.75">
      <c r="A58" s="93"/>
      <c r="B58" s="136"/>
      <c r="C58" s="136"/>
      <c r="D58" s="136"/>
      <c r="E58" s="136"/>
      <c r="F58" s="136"/>
      <c r="G58" s="136" t="s">
        <v>92</v>
      </c>
      <c r="H58" s="136"/>
      <c r="I58" s="136"/>
      <c r="J58" s="93"/>
    </row>
    <row r="59" spans="1:10" ht="27.75">
      <c r="A59" s="93"/>
      <c r="B59" s="136"/>
      <c r="C59" s="136"/>
      <c r="D59" s="136"/>
      <c r="E59" s="136"/>
      <c r="F59" s="136"/>
      <c r="G59" s="136"/>
      <c r="H59" s="136"/>
      <c r="I59" s="136"/>
      <c r="J59" s="93"/>
    </row>
    <row r="60" spans="1:10" ht="18.75">
      <c r="A60" s="79"/>
      <c r="B60" s="79"/>
      <c r="C60" s="79"/>
      <c r="D60" s="79"/>
      <c r="E60" s="79"/>
      <c r="F60" s="79"/>
      <c r="G60" s="79"/>
      <c r="H60" s="79"/>
      <c r="I60" s="79"/>
      <c r="J60" s="79"/>
    </row>
    <row r="61" spans="1:10" ht="18.75">
      <c r="A61" s="79"/>
      <c r="B61" s="79"/>
      <c r="C61" s="79"/>
      <c r="D61" s="79"/>
      <c r="E61" s="79"/>
      <c r="F61" s="79"/>
      <c r="G61" s="79"/>
      <c r="H61" s="79"/>
      <c r="I61" s="79"/>
      <c r="J61" s="79"/>
    </row>
    <row r="62" spans="1:10" ht="18.75">
      <c r="A62" s="79"/>
      <c r="B62" s="79"/>
      <c r="C62" s="79"/>
      <c r="D62" s="79"/>
      <c r="E62" s="79"/>
      <c r="F62" s="79"/>
      <c r="G62" s="79"/>
      <c r="H62" s="79"/>
      <c r="I62" s="79"/>
      <c r="J62" s="79"/>
    </row>
    <row r="63" spans="1:10" ht="18.75">
      <c r="A63" s="79"/>
      <c r="B63" s="79"/>
      <c r="C63" s="79"/>
      <c r="D63" s="79"/>
      <c r="E63" s="79"/>
      <c r="F63" s="79"/>
      <c r="G63" s="79"/>
      <c r="H63" s="79"/>
      <c r="I63" s="79"/>
      <c r="J63" s="79"/>
    </row>
    <row r="64" spans="1:10" ht="18.75">
      <c r="A64" s="79"/>
      <c r="B64" s="79"/>
      <c r="C64" s="79"/>
      <c r="D64" s="79"/>
      <c r="E64" s="79"/>
      <c r="F64" s="79"/>
      <c r="G64" s="79"/>
      <c r="H64" s="79"/>
      <c r="I64" s="79"/>
      <c r="J64" s="79"/>
    </row>
    <row r="65" spans="1:10" ht="18.75">
      <c r="A65" s="79"/>
      <c r="B65" s="79"/>
      <c r="C65" s="79"/>
      <c r="D65" s="79"/>
      <c r="E65" s="79"/>
      <c r="F65" s="79"/>
      <c r="G65" s="79"/>
      <c r="H65" s="79"/>
      <c r="I65" s="79"/>
      <c r="J65" s="79"/>
    </row>
    <row r="66" spans="1:10" ht="18.75">
      <c r="A66" s="79"/>
      <c r="B66" s="79"/>
      <c r="C66" s="79"/>
      <c r="D66" s="79"/>
      <c r="E66" s="79"/>
      <c r="F66" s="79"/>
      <c r="G66" s="79"/>
      <c r="H66" s="79"/>
      <c r="I66" s="79"/>
      <c r="J66" s="79"/>
    </row>
    <row r="67" spans="1:10" ht="18.75">
      <c r="A67" s="79"/>
      <c r="B67" s="79"/>
      <c r="C67" s="79"/>
      <c r="D67" s="79"/>
      <c r="E67" s="79"/>
      <c r="F67" s="79"/>
      <c r="G67" s="79"/>
      <c r="H67" s="79"/>
      <c r="I67" s="79"/>
      <c r="J67" s="79"/>
    </row>
    <row r="68" spans="1:10" ht="18.75">
      <c r="A68" s="79"/>
      <c r="B68" s="79"/>
      <c r="C68" s="79"/>
      <c r="D68" s="79"/>
      <c r="E68" s="79"/>
      <c r="F68" s="79"/>
      <c r="G68" s="79"/>
      <c r="H68" s="79"/>
      <c r="I68" s="79"/>
      <c r="J68" s="79"/>
    </row>
    <row r="69" spans="1:10" ht="18.75">
      <c r="A69" s="79"/>
      <c r="B69" s="79"/>
      <c r="C69" s="79"/>
      <c r="D69" s="79"/>
      <c r="E69" s="79"/>
      <c r="F69" s="79"/>
      <c r="G69" s="79"/>
      <c r="H69" s="79"/>
      <c r="I69" s="79"/>
      <c r="J69" s="79"/>
    </row>
    <row r="70" spans="1:10" ht="18.75">
      <c r="A70" s="79"/>
      <c r="B70" s="79"/>
      <c r="C70" s="79"/>
      <c r="D70" s="79"/>
      <c r="E70" s="79"/>
      <c r="F70" s="79"/>
      <c r="G70" s="79"/>
      <c r="H70" s="79"/>
      <c r="I70" s="79"/>
      <c r="J70" s="79"/>
    </row>
    <row r="71" spans="1:10" ht="18.75">
      <c r="A71" s="79"/>
      <c r="B71" s="79"/>
      <c r="C71" s="79"/>
      <c r="D71" s="79"/>
      <c r="E71" s="79"/>
      <c r="F71" s="79"/>
      <c r="G71" s="79"/>
      <c r="H71" s="79"/>
      <c r="I71" s="79"/>
      <c r="J71" s="79"/>
    </row>
    <row r="74" ht="3.75" customHeight="1"/>
    <row r="75" spans="2:10" ht="30.75" customHeight="1">
      <c r="B75" s="183"/>
      <c r="C75" s="183"/>
      <c r="D75" s="183"/>
      <c r="E75" s="183"/>
      <c r="F75" s="183"/>
      <c r="G75" s="183"/>
      <c r="H75" s="183"/>
      <c r="I75" s="183"/>
      <c r="J75" s="183"/>
    </row>
    <row r="76" spans="2:10" ht="15.75">
      <c r="B76" s="112"/>
      <c r="C76" s="112"/>
      <c r="D76" s="112"/>
      <c r="E76" s="112"/>
      <c r="F76" s="112"/>
      <c r="G76" s="112"/>
      <c r="H76" s="113"/>
      <c r="I76" s="113"/>
      <c r="J76" s="113"/>
    </row>
    <row r="77" spans="2:10" ht="15">
      <c r="B77" s="137"/>
      <c r="C77" s="137"/>
      <c r="D77" s="137"/>
      <c r="E77" s="137"/>
      <c r="F77" s="137"/>
      <c r="G77" s="137"/>
      <c r="H77" s="138"/>
      <c r="I77" s="138"/>
      <c r="J77" s="138"/>
    </row>
    <row r="78" spans="2:10" ht="15">
      <c r="B78" s="138"/>
      <c r="C78" s="138"/>
      <c r="D78" s="138"/>
      <c r="E78" s="138"/>
      <c r="F78" s="138"/>
      <c r="G78" s="138"/>
      <c r="H78" s="138"/>
      <c r="I78" s="138"/>
      <c r="J78" s="138"/>
    </row>
  </sheetData>
  <sheetProtection password="EFE9" sheet="1"/>
  <mergeCells count="19">
    <mergeCell ref="B75:J75"/>
    <mergeCell ref="B15:E15"/>
    <mergeCell ref="H15:J15"/>
    <mergeCell ref="H17:J17"/>
    <mergeCell ref="B18:D18"/>
    <mergeCell ref="B19:D19"/>
    <mergeCell ref="B20:D20"/>
    <mergeCell ref="B21:D21"/>
    <mergeCell ref="B22:D22"/>
    <mergeCell ref="B30:E30"/>
    <mergeCell ref="B46:J48"/>
    <mergeCell ref="G30:I30"/>
    <mergeCell ref="H31:I31"/>
    <mergeCell ref="H14:J14"/>
    <mergeCell ref="E2:J2"/>
    <mergeCell ref="E4:H4"/>
    <mergeCell ref="A5:J5"/>
    <mergeCell ref="A6:J6"/>
    <mergeCell ref="H13:J1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6" r:id="rId2"/>
  <drawing r:id="rId1"/>
</worksheet>
</file>

<file path=xl/worksheets/sheet3.xml><?xml version="1.0" encoding="utf-8"?>
<worksheet xmlns="http://schemas.openxmlformats.org/spreadsheetml/2006/main" xmlns:r="http://schemas.openxmlformats.org/officeDocument/2006/relationships">
  <sheetPr codeName="Feuil2"/>
  <dimension ref="A1:H71"/>
  <sheetViews>
    <sheetView zoomScale="90" zoomScaleNormal="90" zoomScalePageLayoutView="0" workbookViewId="0" topLeftCell="A19">
      <selection activeCell="G48" sqref="G48"/>
    </sheetView>
  </sheetViews>
  <sheetFormatPr defaultColWidth="11.421875" defaultRowHeight="15"/>
  <cols>
    <col min="4" max="4" width="24.8515625" style="0" bestFit="1" customWidth="1"/>
    <col min="6" max="6" width="33.7109375" style="0" customWidth="1"/>
    <col min="7" max="7" width="27.57421875" style="0" customWidth="1"/>
  </cols>
  <sheetData>
    <row r="1" spans="1:8" ht="18">
      <c r="A1" s="20"/>
      <c r="B1" s="20"/>
      <c r="C1" s="20"/>
      <c r="D1" s="20"/>
      <c r="E1" s="197" t="s">
        <v>58</v>
      </c>
      <c r="F1" s="197"/>
      <c r="G1" s="197"/>
      <c r="H1" s="197"/>
    </row>
    <row r="2" spans="1:8" ht="18.75">
      <c r="A2" s="20"/>
      <c r="B2" s="20"/>
      <c r="C2" s="20"/>
      <c r="D2" s="20"/>
      <c r="E2" s="210" t="s">
        <v>59</v>
      </c>
      <c r="F2" s="210"/>
      <c r="G2" s="210"/>
      <c r="H2" s="210"/>
    </row>
    <row r="3" spans="1:8" ht="18.75">
      <c r="A3" s="61"/>
      <c r="B3" s="61"/>
      <c r="C3" s="61"/>
      <c r="D3" s="61"/>
      <c r="E3" s="20"/>
      <c r="F3" s="20"/>
      <c r="G3" s="20"/>
      <c r="H3" s="20"/>
    </row>
    <row r="4" spans="1:8" ht="15">
      <c r="A4" s="21"/>
      <c r="B4" s="21"/>
      <c r="C4" s="21"/>
      <c r="D4" s="21"/>
      <c r="E4" s="21"/>
      <c r="F4" s="21"/>
      <c r="G4" s="21"/>
      <c r="H4" s="21"/>
    </row>
    <row r="5" spans="1:8" ht="15">
      <c r="A5" s="21"/>
      <c r="B5" s="21"/>
      <c r="C5" s="21"/>
      <c r="D5" s="21"/>
      <c r="E5" s="21"/>
      <c r="F5" s="21"/>
      <c r="G5" s="21"/>
      <c r="H5" s="21"/>
    </row>
    <row r="6" spans="1:8" ht="15">
      <c r="A6" s="22"/>
      <c r="B6" s="22"/>
      <c r="C6" s="22"/>
      <c r="D6" s="22"/>
      <c r="E6" s="22"/>
      <c r="F6" s="22"/>
      <c r="G6" s="22"/>
      <c r="H6" s="23"/>
    </row>
    <row r="7" spans="1:8" ht="19.5">
      <c r="A7" s="211" t="s">
        <v>160</v>
      </c>
      <c r="B7" s="211"/>
      <c r="C7" s="211"/>
      <c r="D7" s="211"/>
      <c r="E7" s="211"/>
      <c r="F7" s="211"/>
      <c r="G7" s="211"/>
      <c r="H7" s="24"/>
    </row>
    <row r="8" spans="1:8" ht="18.75">
      <c r="A8" s="212" t="s">
        <v>119</v>
      </c>
      <c r="B8" s="213"/>
      <c r="C8" s="213"/>
      <c r="D8" s="213"/>
      <c r="E8" s="213"/>
      <c r="F8" s="213"/>
      <c r="G8" s="213"/>
      <c r="H8" s="25"/>
    </row>
    <row r="9" spans="1:8" ht="16.5">
      <c r="A9" s="62"/>
      <c r="B9" s="62"/>
      <c r="C9" s="62"/>
      <c r="D9" s="62"/>
      <c r="E9" s="62"/>
      <c r="F9" s="62"/>
      <c r="G9" s="62"/>
      <c r="H9" s="25"/>
    </row>
    <row r="10" spans="1:8" ht="15.75">
      <c r="A10" s="21"/>
      <c r="B10" s="26"/>
      <c r="C10" s="27"/>
      <c r="D10" s="27"/>
      <c r="E10" s="27"/>
      <c r="F10" s="27"/>
      <c r="G10" s="27"/>
      <c r="H10" s="26"/>
    </row>
    <row r="11" spans="1:8" ht="18">
      <c r="A11" s="20"/>
      <c r="B11" s="28" t="s">
        <v>60</v>
      </c>
      <c r="C11" s="20"/>
      <c r="D11" s="20"/>
      <c r="E11" s="20">
        <f>Encodage!G8&amp;Encodage!G9</f>
      </c>
      <c r="F11" s="29"/>
      <c r="G11" s="20"/>
      <c r="H11" s="20"/>
    </row>
    <row r="12" spans="1:8" ht="15.75">
      <c r="A12" s="21"/>
      <c r="B12" s="26"/>
      <c r="C12" s="26"/>
      <c r="D12" s="26"/>
      <c r="E12" s="26"/>
      <c r="F12" s="26"/>
      <c r="G12" s="26"/>
      <c r="H12" s="26"/>
    </row>
    <row r="13" spans="1:8" ht="15.75">
      <c r="A13" s="21"/>
      <c r="B13" s="26" t="s">
        <v>61</v>
      </c>
      <c r="C13" s="26"/>
      <c r="D13" s="26"/>
      <c r="E13" s="26">
        <f>Encodage!G13</f>
        <v>0</v>
      </c>
      <c r="F13" s="26"/>
      <c r="G13" s="26"/>
      <c r="H13" s="26"/>
    </row>
    <row r="14" spans="1:8" ht="15.75">
      <c r="A14" s="21"/>
      <c r="B14" s="26" t="s">
        <v>62</v>
      </c>
      <c r="C14" s="26"/>
      <c r="D14" s="26"/>
      <c r="E14" s="26">
        <f>Encodage!G14</f>
        <v>0</v>
      </c>
      <c r="F14" s="70" t="str">
        <f>'Cal 2018'!G23</f>
        <v>Semaine</v>
      </c>
      <c r="G14" s="70" t="str">
        <f>'Cal 2018'!H23</f>
        <v>Total prestation</v>
      </c>
      <c r="H14" s="26"/>
    </row>
    <row r="15" spans="1:8" ht="15.75">
      <c r="A15" s="21"/>
      <c r="B15" s="26"/>
      <c r="C15" s="26"/>
      <c r="D15" s="26"/>
      <c r="E15" s="26"/>
      <c r="F15" s="70">
        <f>'Cal 2018'!G24</f>
        <v>31</v>
      </c>
      <c r="G15" s="70">
        <f>'Cal 2018'!H24</f>
        <v>0</v>
      </c>
      <c r="H15" s="26"/>
    </row>
    <row r="16" spans="1:8" ht="15.75">
      <c r="A16" s="21"/>
      <c r="B16" s="26"/>
      <c r="C16" s="26"/>
      <c r="D16" s="26"/>
      <c r="E16" s="26"/>
      <c r="F16" s="70">
        <f>'Cal 2018'!G25</f>
        <v>32</v>
      </c>
      <c r="G16" s="70">
        <f>'Cal 2018'!H25</f>
        <v>0</v>
      </c>
      <c r="H16" s="26"/>
    </row>
    <row r="17" spans="1:8" ht="18">
      <c r="A17" s="20"/>
      <c r="B17" s="214" t="s">
        <v>63</v>
      </c>
      <c r="C17" s="215"/>
      <c r="D17" s="216"/>
      <c r="E17" s="68" t="str">
        <f>Encodage!D26</f>
        <v>201808</v>
      </c>
      <c r="F17" s="71">
        <f>'Cal 2018'!G26</f>
        <v>33</v>
      </c>
      <c r="G17" s="71">
        <f>'Cal 2018'!H26</f>
        <v>0</v>
      </c>
      <c r="H17" s="20"/>
    </row>
    <row r="18" spans="1:8" ht="15.75">
      <c r="A18" s="21"/>
      <c r="B18" s="26"/>
      <c r="C18" s="26"/>
      <c r="D18" s="26"/>
      <c r="E18" s="26"/>
      <c r="F18" s="70">
        <f>'Cal 2018'!G27</f>
        <v>34</v>
      </c>
      <c r="G18" s="70">
        <f>'Cal 2018'!H27</f>
        <v>0</v>
      </c>
      <c r="H18" s="26"/>
    </row>
    <row r="19" spans="1:8" ht="18">
      <c r="A19" s="20"/>
      <c r="B19" s="20" t="s">
        <v>24</v>
      </c>
      <c r="C19" s="20"/>
      <c r="D19" s="29">
        <f>Encodage!R13</f>
        <v>0</v>
      </c>
      <c r="E19" s="20"/>
      <c r="F19" s="71">
        <f>'Cal 2018'!G28</f>
        <v>35</v>
      </c>
      <c r="G19" s="71">
        <f>'Cal 2018'!H28</f>
        <v>0</v>
      </c>
      <c r="H19" s="20"/>
    </row>
    <row r="20" spans="1:8" ht="15.75">
      <c r="A20" s="21"/>
      <c r="B20" s="26"/>
      <c r="C20" s="26"/>
      <c r="D20" s="26"/>
      <c r="E20" s="26"/>
      <c r="F20" s="70">
        <f>'Cal 2018'!G29</f>
      </c>
      <c r="G20" s="70">
        <f>'Cal 2018'!H29</f>
      </c>
      <c r="H20" s="26"/>
    </row>
    <row r="21" spans="1:8" ht="18">
      <c r="A21" s="20"/>
      <c r="B21" s="20" t="s">
        <v>25</v>
      </c>
      <c r="C21" s="20"/>
      <c r="D21" s="29">
        <f>Encodage!R14</f>
        <v>0</v>
      </c>
      <c r="E21" s="20"/>
      <c r="F21" s="71" t="str">
        <f>'Cal 2018'!G30</f>
        <v>Moyenne</v>
      </c>
      <c r="G21" s="71">
        <f>'Cal 2018'!H30</f>
        <v>0</v>
      </c>
      <c r="H21" s="20"/>
    </row>
    <row r="22" spans="1:8" ht="18">
      <c r="A22" s="20"/>
      <c r="B22" s="20"/>
      <c r="C22" s="20">
        <f>Encodage!R12</f>
        <v>0</v>
      </c>
      <c r="D22" s="29"/>
      <c r="E22" s="20"/>
      <c r="F22" s="20"/>
      <c r="G22" s="20"/>
      <c r="H22" s="20"/>
    </row>
    <row r="23" spans="1:8" ht="15.75">
      <c r="A23" s="21"/>
      <c r="B23" s="26"/>
      <c r="C23" s="26"/>
      <c r="D23" s="26"/>
      <c r="E23" s="26"/>
      <c r="F23" s="26"/>
      <c r="G23" s="26"/>
      <c r="H23" s="26"/>
    </row>
    <row r="24" spans="1:8" ht="18">
      <c r="A24" s="30"/>
      <c r="B24" s="31" t="s">
        <v>64</v>
      </c>
      <c r="C24" s="31" t="s">
        <v>65</v>
      </c>
      <c r="D24" s="20"/>
      <c r="E24" s="20"/>
      <c r="F24" s="20"/>
      <c r="G24" s="20"/>
      <c r="H24" s="20"/>
    </row>
    <row r="25" spans="1:8" ht="15.75">
      <c r="A25" s="21"/>
      <c r="B25" s="32"/>
      <c r="C25" s="32"/>
      <c r="D25" s="26"/>
      <c r="E25" s="26"/>
      <c r="F25" s="26"/>
      <c r="G25" s="26"/>
      <c r="H25" s="26"/>
    </row>
    <row r="26" spans="1:8" ht="18">
      <c r="A26" s="20"/>
      <c r="B26" s="30" t="s">
        <v>66</v>
      </c>
      <c r="C26" s="31" t="s">
        <v>67</v>
      </c>
      <c r="D26" s="29"/>
      <c r="E26" s="29"/>
      <c r="F26" s="20"/>
      <c r="G26" s="20"/>
      <c r="H26" s="20"/>
    </row>
    <row r="27" spans="1:8" ht="15.75">
      <c r="A27" s="21"/>
      <c r="B27" s="26"/>
      <c r="C27" s="26"/>
      <c r="D27" s="26"/>
      <c r="E27" s="26"/>
      <c r="F27" s="26"/>
      <c r="G27" s="26"/>
      <c r="H27" s="26"/>
    </row>
    <row r="28" spans="1:8" ht="16.5">
      <c r="A28" s="33"/>
      <c r="B28" s="33"/>
      <c r="C28" s="201" t="s">
        <v>68</v>
      </c>
      <c r="D28" s="202"/>
      <c r="E28" s="203"/>
      <c r="F28" s="34" t="s">
        <v>69</v>
      </c>
      <c r="G28" s="34" t="s">
        <v>70</v>
      </c>
      <c r="H28" s="33"/>
    </row>
    <row r="29" spans="1:8" ht="16.5">
      <c r="A29" s="33"/>
      <c r="B29" s="33"/>
      <c r="C29" s="198" t="s">
        <v>71</v>
      </c>
      <c r="D29" s="199"/>
      <c r="E29" s="200"/>
      <c r="F29" s="35" t="s">
        <v>72</v>
      </c>
      <c r="G29" s="36">
        <f>Encodage!Z59</f>
        <v>0</v>
      </c>
      <c r="H29" s="33"/>
    </row>
    <row r="30" spans="1:8" ht="16.5">
      <c r="A30" s="33"/>
      <c r="B30" s="33"/>
      <c r="C30" s="37"/>
      <c r="D30" s="37"/>
      <c r="E30" s="38"/>
      <c r="F30" s="39" t="s">
        <v>73</v>
      </c>
      <c r="G30" s="34"/>
      <c r="H30" s="33"/>
    </row>
    <row r="31" spans="1:8" ht="15">
      <c r="A31" s="40"/>
      <c r="B31" s="41"/>
      <c r="C31" s="42"/>
      <c r="D31" s="42"/>
      <c r="E31" s="43"/>
      <c r="F31" s="43"/>
      <c r="G31" s="43"/>
      <c r="H31" s="41"/>
    </row>
    <row r="32" spans="1:8" ht="15.75">
      <c r="A32" s="21"/>
      <c r="B32" s="26"/>
      <c r="C32" s="26"/>
      <c r="D32" s="26"/>
      <c r="E32" s="26"/>
      <c r="F32" s="26"/>
      <c r="G32" s="26"/>
      <c r="H32" s="26"/>
    </row>
    <row r="33" spans="1:8" ht="18">
      <c r="A33" s="21"/>
      <c r="B33" s="30" t="s">
        <v>74</v>
      </c>
      <c r="C33" s="31" t="s">
        <v>75</v>
      </c>
      <c r="D33" s="44"/>
      <c r="E33" s="45"/>
      <c r="F33" s="45"/>
      <c r="G33" s="45"/>
      <c r="H33" s="45"/>
    </row>
    <row r="34" spans="1:8" ht="15.75">
      <c r="A34" s="21"/>
      <c r="B34" s="26"/>
      <c r="C34" s="46"/>
      <c r="D34" s="44"/>
      <c r="E34" s="44"/>
      <c r="F34" s="45"/>
      <c r="G34" s="45"/>
      <c r="H34" s="45"/>
    </row>
    <row r="35" spans="1:8" ht="16.5">
      <c r="A35" s="47"/>
      <c r="B35" s="47"/>
      <c r="C35" s="201" t="s">
        <v>68</v>
      </c>
      <c r="D35" s="202"/>
      <c r="E35" s="203"/>
      <c r="F35" s="34" t="s">
        <v>69</v>
      </c>
      <c r="G35" s="34" t="s">
        <v>70</v>
      </c>
      <c r="H35" s="48"/>
    </row>
    <row r="36" spans="1:8" ht="16.5">
      <c r="A36" s="47"/>
      <c r="B36" s="47"/>
      <c r="C36" s="198" t="s">
        <v>76</v>
      </c>
      <c r="D36" s="199"/>
      <c r="E36" s="200"/>
      <c r="F36" s="35" t="s">
        <v>72</v>
      </c>
      <c r="G36" s="36">
        <f>Encodage!X59</f>
        <v>0</v>
      </c>
      <c r="H36" s="48"/>
    </row>
    <row r="37" spans="1:8" ht="16.5">
      <c r="A37" s="47"/>
      <c r="B37" s="47"/>
      <c r="C37" s="37"/>
      <c r="D37" s="37"/>
      <c r="E37" s="38"/>
      <c r="F37" s="39" t="s">
        <v>77</v>
      </c>
      <c r="G37" s="34"/>
      <c r="H37" s="47"/>
    </row>
    <row r="38" spans="1:8" ht="15.75">
      <c r="A38" s="21"/>
      <c r="B38" s="26"/>
      <c r="C38" s="26"/>
      <c r="D38" s="26"/>
      <c r="E38" s="26"/>
      <c r="F38" s="26"/>
      <c r="G38" s="26"/>
      <c r="H38" s="26"/>
    </row>
    <row r="39" spans="1:8" ht="15.75">
      <c r="A39" s="21"/>
      <c r="B39" s="32" t="s">
        <v>78</v>
      </c>
      <c r="C39" s="21"/>
      <c r="D39" s="49"/>
      <c r="E39" s="49"/>
      <c r="F39" s="49"/>
      <c r="G39" s="49"/>
      <c r="H39" s="26"/>
    </row>
    <row r="40" spans="1:8" ht="18">
      <c r="A40" s="20"/>
      <c r="B40" s="20"/>
      <c r="C40" s="50" t="s">
        <v>79</v>
      </c>
      <c r="D40" s="51"/>
      <c r="E40" s="51"/>
      <c r="F40" s="51"/>
      <c r="G40" s="52">
        <f>G29+G36</f>
        <v>0</v>
      </c>
      <c r="H40" s="20"/>
    </row>
    <row r="41" spans="1:8" ht="16.5">
      <c r="A41" s="21"/>
      <c r="B41" s="26"/>
      <c r="C41" s="53"/>
      <c r="D41" s="53"/>
      <c r="E41" s="53"/>
      <c r="F41" s="53"/>
      <c r="G41" s="54" t="s">
        <v>80</v>
      </c>
      <c r="H41" s="26"/>
    </row>
    <row r="42" spans="1:8" ht="15.75">
      <c r="A42" s="21"/>
      <c r="B42" s="26"/>
      <c r="C42" s="53"/>
      <c r="D42" s="53"/>
      <c r="E42" s="53"/>
      <c r="F42" s="53"/>
      <c r="G42" s="53"/>
      <c r="H42" s="26"/>
    </row>
    <row r="43" spans="1:8" ht="15.75">
      <c r="A43" s="21"/>
      <c r="B43" s="26"/>
      <c r="C43" s="26"/>
      <c r="D43" s="26"/>
      <c r="E43" s="26"/>
      <c r="F43" s="26"/>
      <c r="G43" s="26"/>
      <c r="H43" s="26"/>
    </row>
    <row r="44" spans="1:8" ht="18">
      <c r="A44" s="20"/>
      <c r="B44" s="29" t="s">
        <v>81</v>
      </c>
      <c r="C44" s="31" t="s">
        <v>82</v>
      </c>
      <c r="D44" s="29"/>
      <c r="E44" s="29"/>
      <c r="F44" s="20"/>
      <c r="G44" s="20"/>
      <c r="H44" s="20"/>
    </row>
    <row r="45" spans="1:8" ht="15.75">
      <c r="A45" s="21"/>
      <c r="B45" s="26"/>
      <c r="C45" s="32"/>
      <c r="D45" s="44"/>
      <c r="E45" s="44"/>
      <c r="F45" s="26"/>
      <c r="G45" s="26"/>
      <c r="H45" s="26"/>
    </row>
    <row r="46" spans="1:8" ht="16.5">
      <c r="A46" s="47"/>
      <c r="B46" s="47"/>
      <c r="C46" s="201" t="s">
        <v>83</v>
      </c>
      <c r="D46" s="203"/>
      <c r="E46" s="204" t="s">
        <v>84</v>
      </c>
      <c r="F46" s="205"/>
      <c r="G46" s="34" t="s">
        <v>70</v>
      </c>
      <c r="H46" s="47"/>
    </row>
    <row r="47" spans="1:8" ht="16.5">
      <c r="A47" s="47"/>
      <c r="B47" s="47"/>
      <c r="C47" s="206">
        <f>COUNT(Encodage!Z26:Z56)</f>
        <v>0</v>
      </c>
      <c r="D47" s="207"/>
      <c r="E47" s="208">
        <f>SUM(Encodage!AA26:AA56)</f>
        <v>0</v>
      </c>
      <c r="F47" s="209"/>
      <c r="G47" s="52">
        <f>E47+G40</f>
        <v>0</v>
      </c>
      <c r="H47" s="47"/>
    </row>
    <row r="48" spans="1:8" ht="16.5">
      <c r="A48" s="21"/>
      <c r="B48" s="26"/>
      <c r="C48" s="26"/>
      <c r="D48" s="26"/>
      <c r="E48" s="26"/>
      <c r="F48" s="21"/>
      <c r="G48" s="54" t="s">
        <v>85</v>
      </c>
      <c r="H48" s="26"/>
    </row>
    <row r="49" spans="1:8" ht="15.75">
      <c r="A49" s="21"/>
      <c r="B49" s="26"/>
      <c r="C49" s="26"/>
      <c r="D49" s="26"/>
      <c r="E49" s="26"/>
      <c r="F49" s="26"/>
      <c r="G49" s="26"/>
      <c r="H49" s="26"/>
    </row>
    <row r="50" spans="1:8" ht="15.75">
      <c r="A50" s="21"/>
      <c r="B50" s="26"/>
      <c r="C50" s="26"/>
      <c r="D50" s="26"/>
      <c r="E50" s="26"/>
      <c r="F50" s="26"/>
      <c r="G50" s="26"/>
      <c r="H50" s="26"/>
    </row>
    <row r="51" spans="1:8" ht="18">
      <c r="A51" s="55" t="s">
        <v>86</v>
      </c>
      <c r="B51" s="196" t="s">
        <v>87</v>
      </c>
      <c r="C51" s="196"/>
      <c r="D51" s="196"/>
      <c r="E51" s="196"/>
      <c r="F51" s="196"/>
      <c r="G51" s="196"/>
      <c r="H51" s="20"/>
    </row>
    <row r="52" spans="1:8" ht="16.5">
      <c r="A52" s="47"/>
      <c r="B52" s="196"/>
      <c r="C52" s="196"/>
      <c r="D52" s="196"/>
      <c r="E52" s="196"/>
      <c r="F52" s="196"/>
      <c r="G52" s="196"/>
      <c r="H52" s="21"/>
    </row>
    <row r="53" spans="1:8" ht="16.5">
      <c r="A53" s="47"/>
      <c r="B53" s="196"/>
      <c r="C53" s="196"/>
      <c r="D53" s="196"/>
      <c r="E53" s="196"/>
      <c r="F53" s="196"/>
      <c r="G53" s="196"/>
      <c r="H53" s="47"/>
    </row>
    <row r="54" spans="1:8" ht="16.5">
      <c r="A54" s="48"/>
      <c r="B54" s="56" t="s">
        <v>88</v>
      </c>
      <c r="C54" s="57"/>
      <c r="D54" s="57"/>
      <c r="E54" s="57"/>
      <c r="F54" s="57"/>
      <c r="G54" s="57"/>
      <c r="H54" s="47"/>
    </row>
    <row r="55" spans="1:8" ht="15.75">
      <c r="A55" s="58"/>
      <c r="B55" s="45"/>
      <c r="C55" s="45"/>
      <c r="D55" s="45"/>
      <c r="E55" s="45"/>
      <c r="F55" s="45"/>
      <c r="G55" s="45"/>
      <c r="H55" s="45"/>
    </row>
    <row r="56" spans="1:8" ht="18">
      <c r="A56" s="197" t="s">
        <v>89</v>
      </c>
      <c r="B56" s="197"/>
      <c r="C56" s="197"/>
      <c r="D56" s="197"/>
      <c r="E56" s="197"/>
      <c r="F56" s="197"/>
      <c r="G56" s="197"/>
      <c r="H56" s="20"/>
    </row>
    <row r="57" spans="1:8" ht="15.75">
      <c r="A57" s="21"/>
      <c r="B57" s="26"/>
      <c r="C57" s="26"/>
      <c r="D57" s="26"/>
      <c r="E57" s="26"/>
      <c r="F57" s="26"/>
      <c r="G57" s="26"/>
      <c r="H57" s="26"/>
    </row>
    <row r="58" spans="1:8" ht="15.75">
      <c r="A58" s="21"/>
      <c r="B58" s="26"/>
      <c r="C58" s="26"/>
      <c r="D58" s="26"/>
      <c r="E58" s="26"/>
      <c r="F58" s="26"/>
      <c r="G58" s="26"/>
      <c r="H58" s="26"/>
    </row>
    <row r="59" spans="1:8" ht="18">
      <c r="A59" s="20"/>
      <c r="B59" s="29" t="s">
        <v>90</v>
      </c>
      <c r="C59" s="20"/>
      <c r="D59" s="20"/>
      <c r="E59" s="20"/>
      <c r="F59" s="29" t="s">
        <v>91</v>
      </c>
      <c r="G59" s="20"/>
      <c r="H59" s="20"/>
    </row>
    <row r="60" spans="1:8" ht="18">
      <c r="A60" s="21"/>
      <c r="B60" s="21"/>
      <c r="C60" s="21"/>
      <c r="D60" s="21"/>
      <c r="E60" s="21"/>
      <c r="F60" s="29" t="s">
        <v>92</v>
      </c>
      <c r="G60" s="21"/>
      <c r="H60" s="21"/>
    </row>
    <row r="61" spans="1:8" ht="15">
      <c r="A61" s="21"/>
      <c r="B61" s="21"/>
      <c r="C61" s="21"/>
      <c r="D61" s="21"/>
      <c r="E61" s="21"/>
      <c r="F61" s="21"/>
      <c r="G61" s="21"/>
      <c r="H61" s="21"/>
    </row>
    <row r="62" spans="1:8" ht="18.75">
      <c r="A62" s="21"/>
      <c r="B62" s="59" t="str">
        <f>Encodage!G8&amp;" ; "&amp;Encodage!G9</f>
        <v> ; </v>
      </c>
      <c r="C62" s="21"/>
      <c r="D62" s="21"/>
      <c r="E62" s="21"/>
      <c r="F62" s="59">
        <f>Encodage!R12</f>
        <v>0</v>
      </c>
      <c r="G62" s="21"/>
      <c r="H62" s="21"/>
    </row>
    <row r="63" spans="1:8" ht="15">
      <c r="A63" s="21"/>
      <c r="B63" s="21"/>
      <c r="C63" s="21"/>
      <c r="D63" s="21"/>
      <c r="E63" s="21"/>
      <c r="F63" s="21"/>
      <c r="G63" s="21"/>
      <c r="H63" s="21"/>
    </row>
    <row r="64" spans="1:8" ht="15">
      <c r="A64" s="21"/>
      <c r="B64" s="21"/>
      <c r="C64" s="21"/>
      <c r="D64" s="21"/>
      <c r="E64" s="21"/>
      <c r="F64" s="21"/>
      <c r="G64" s="21"/>
      <c r="H64" s="21"/>
    </row>
    <row r="65" spans="1:8" ht="15">
      <c r="A65" s="21"/>
      <c r="B65" s="21"/>
      <c r="C65" s="21"/>
      <c r="D65" s="21"/>
      <c r="E65" s="21"/>
      <c r="F65" s="21"/>
      <c r="G65" s="21"/>
      <c r="H65" s="21"/>
    </row>
    <row r="66" spans="1:8" ht="15">
      <c r="A66" s="21"/>
      <c r="B66" s="21"/>
      <c r="C66" s="21"/>
      <c r="D66" s="21"/>
      <c r="E66" s="21"/>
      <c r="F66" s="21"/>
      <c r="G66" s="21"/>
      <c r="H66" s="21"/>
    </row>
    <row r="67" spans="1:8" ht="15">
      <c r="A67" s="21"/>
      <c r="B67" s="21"/>
      <c r="C67" s="21"/>
      <c r="D67" s="21"/>
      <c r="E67" s="21"/>
      <c r="F67" s="21"/>
      <c r="G67" s="21"/>
      <c r="H67" s="21"/>
    </row>
    <row r="68" spans="1:8" ht="15">
      <c r="A68" s="21"/>
      <c r="B68" s="21"/>
      <c r="C68" s="21"/>
      <c r="D68" s="21"/>
      <c r="E68" s="21"/>
      <c r="F68" s="21"/>
      <c r="G68" s="21"/>
      <c r="H68" s="21"/>
    </row>
    <row r="69" spans="1:8" ht="15">
      <c r="A69" s="21"/>
      <c r="B69" s="21"/>
      <c r="C69" s="21"/>
      <c r="D69" s="21"/>
      <c r="E69" s="21"/>
      <c r="F69" s="21"/>
      <c r="G69" s="21"/>
      <c r="H69" s="21"/>
    </row>
    <row r="70" spans="1:8" ht="15">
      <c r="A70" s="21"/>
      <c r="B70" s="21"/>
      <c r="C70" s="21"/>
      <c r="D70" s="21"/>
      <c r="E70" s="21"/>
      <c r="F70" s="21"/>
      <c r="G70" s="21"/>
      <c r="H70" s="21"/>
    </row>
    <row r="71" spans="1:8" ht="15">
      <c r="A71" s="21"/>
      <c r="B71" s="21"/>
      <c r="C71" s="21"/>
      <c r="D71" s="21"/>
      <c r="E71" s="21"/>
      <c r="F71" s="21"/>
      <c r="G71" s="21"/>
      <c r="H71" s="21"/>
    </row>
  </sheetData>
  <sheetProtection/>
  <mergeCells count="15">
    <mergeCell ref="C28:E28"/>
    <mergeCell ref="E1:H1"/>
    <mergeCell ref="E2:H2"/>
    <mergeCell ref="A7:G7"/>
    <mergeCell ref="A8:G8"/>
    <mergeCell ref="B17:D17"/>
    <mergeCell ref="B51:G53"/>
    <mergeCell ref="A56:G56"/>
    <mergeCell ref="C29:E29"/>
    <mergeCell ref="C35:E35"/>
    <mergeCell ref="C36:E36"/>
    <mergeCell ref="C46:D46"/>
    <mergeCell ref="E46:F46"/>
    <mergeCell ref="C47:D47"/>
    <mergeCell ref="E47:F4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Feuil3"/>
  <dimension ref="A1:V30"/>
  <sheetViews>
    <sheetView zoomScalePageLayoutView="0" workbookViewId="0" topLeftCell="W1">
      <selection activeCell="A2" sqref="A1:G16384"/>
    </sheetView>
  </sheetViews>
  <sheetFormatPr defaultColWidth="11.421875" defaultRowHeight="15"/>
  <cols>
    <col min="1" max="1" width="11.421875" style="0" hidden="1" customWidth="1"/>
    <col min="2" max="2" width="10.7109375" style="0" hidden="1" customWidth="1"/>
    <col min="3" max="3" width="35.57421875" style="0" hidden="1" customWidth="1"/>
    <col min="4" max="4" width="14.57421875" style="0" hidden="1" customWidth="1"/>
    <col min="5" max="5" width="35.57421875" style="0" hidden="1" customWidth="1"/>
    <col min="6" max="6" width="11.421875" style="0" hidden="1" customWidth="1"/>
    <col min="7" max="7" width="12.28125" style="0" hidden="1" customWidth="1"/>
    <col min="8" max="8" width="11.421875" style="0" hidden="1" customWidth="1"/>
    <col min="9" max="9" width="13.00390625" style="0" hidden="1" customWidth="1"/>
    <col min="10" max="11" width="14.140625" style="0" hidden="1" customWidth="1"/>
    <col min="12" max="21" width="11.421875" style="0" hidden="1" customWidth="1"/>
    <col min="22" max="22" width="19.8515625" style="0" hidden="1" customWidth="1"/>
    <col min="23" max="35" width="11.421875" style="0" customWidth="1"/>
  </cols>
  <sheetData>
    <row r="1" spans="1:22" ht="15">
      <c r="A1" s="217" t="str">
        <f>"Fériés "&amp;E1</f>
        <v>Fériés 2018</v>
      </c>
      <c r="B1" s="217"/>
      <c r="C1" s="217"/>
      <c r="D1" s="15" t="s">
        <v>51</v>
      </c>
      <c r="E1" s="159">
        <v>2018</v>
      </c>
      <c r="G1" s="10" t="s">
        <v>29</v>
      </c>
      <c r="H1" s="10" t="s">
        <v>50</v>
      </c>
      <c r="I1" s="9" t="s">
        <v>49</v>
      </c>
      <c r="J1" s="9" t="s">
        <v>47</v>
      </c>
      <c r="K1" s="9" t="s">
        <v>48</v>
      </c>
      <c r="N1" s="10" t="s">
        <v>51</v>
      </c>
      <c r="O1" s="10" t="s">
        <v>94</v>
      </c>
      <c r="P1" s="63" t="s">
        <v>115</v>
      </c>
      <c r="Q1" s="10" t="s">
        <v>95</v>
      </c>
      <c r="R1" s="10" t="s">
        <v>96</v>
      </c>
      <c r="S1" s="10" t="s">
        <v>94</v>
      </c>
      <c r="T1" s="10" t="s">
        <v>97</v>
      </c>
      <c r="U1" s="10" t="s">
        <v>51</v>
      </c>
      <c r="V1" s="10" t="s">
        <v>98</v>
      </c>
    </row>
    <row r="2" spans="1:22" ht="15">
      <c r="A2" s="160" t="str">
        <f aca="true" t="shared" si="0" ref="A2:A11">VLOOKUP(WEEKDAY(B2,2),$N$18:$O$25,2,FALSE)</f>
        <v>Lundi</v>
      </c>
      <c r="B2" s="167">
        <v>43101</v>
      </c>
      <c r="C2" s="161" t="s">
        <v>1</v>
      </c>
      <c r="D2" s="16" t="str">
        <f aca="true" t="shared" si="1" ref="D2:D11">IF(A2="Samedi","Samedi","Férié")</f>
        <v>Férié</v>
      </c>
      <c r="E2" s="16"/>
      <c r="G2" s="9" t="s">
        <v>30</v>
      </c>
      <c r="H2" s="9">
        <f>$E$1</f>
        <v>2018</v>
      </c>
      <c r="I2" s="9">
        <v>1</v>
      </c>
      <c r="J2" s="13">
        <f>DATE(H2,I2,1)</f>
        <v>43101</v>
      </c>
      <c r="K2" s="13">
        <f>DATE(H2,I2+1,0)</f>
        <v>43131</v>
      </c>
      <c r="N2" s="9" t="s">
        <v>99</v>
      </c>
      <c r="O2" s="9">
        <v>1</v>
      </c>
      <c r="P2" s="64">
        <v>7</v>
      </c>
      <c r="Q2" s="9" t="s">
        <v>101</v>
      </c>
      <c r="R2" s="9">
        <v>100</v>
      </c>
      <c r="S2" s="9"/>
      <c r="T2" s="9">
        <v>0</v>
      </c>
      <c r="U2" s="9" t="s">
        <v>99</v>
      </c>
      <c r="V2" s="9">
        <v>4.96</v>
      </c>
    </row>
    <row r="3" spans="1:22" ht="15">
      <c r="A3" s="160" t="str">
        <f t="shared" si="0"/>
        <v>Lundi</v>
      </c>
      <c r="B3" s="167">
        <v>43192</v>
      </c>
      <c r="C3" s="166" t="s">
        <v>5</v>
      </c>
      <c r="D3" s="16" t="str">
        <f t="shared" si="1"/>
        <v>Férié</v>
      </c>
      <c r="E3" s="16"/>
      <c r="G3" s="9" t="s">
        <v>31</v>
      </c>
      <c r="H3" s="9">
        <f aca="true" t="shared" si="2" ref="H3:H13">$E$1</f>
        <v>2018</v>
      </c>
      <c r="I3" s="9">
        <v>2</v>
      </c>
      <c r="J3" s="13">
        <f aca="true" t="shared" si="3" ref="J3:J13">DATE(H3,I3,1)</f>
        <v>43132</v>
      </c>
      <c r="K3" s="13">
        <f aca="true" t="shared" si="4" ref="K3:K13">DATE(H3,I3+1,0)</f>
        <v>43159</v>
      </c>
      <c r="N3" s="9" t="s">
        <v>99</v>
      </c>
      <c r="O3" s="9">
        <v>2</v>
      </c>
      <c r="P3" s="64">
        <v>1</v>
      </c>
      <c r="Q3" s="9" t="s">
        <v>102</v>
      </c>
      <c r="R3" s="9">
        <v>100</v>
      </c>
      <c r="S3" s="9"/>
      <c r="T3" s="9">
        <v>0</v>
      </c>
      <c r="U3" s="9" t="s">
        <v>100</v>
      </c>
      <c r="V3" s="9">
        <v>0</v>
      </c>
    </row>
    <row r="4" spans="1:22" ht="15">
      <c r="A4" s="160" t="str">
        <f t="shared" si="0"/>
        <v>Mardi</v>
      </c>
      <c r="B4" s="167">
        <v>43221</v>
      </c>
      <c r="C4" s="161" t="s">
        <v>7</v>
      </c>
      <c r="D4" s="16" t="str">
        <f t="shared" si="1"/>
        <v>Férié</v>
      </c>
      <c r="E4" s="16"/>
      <c r="G4" s="9" t="s">
        <v>32</v>
      </c>
      <c r="H4" s="9">
        <f t="shared" si="2"/>
        <v>2018</v>
      </c>
      <c r="I4" s="9">
        <v>3</v>
      </c>
      <c r="J4" s="13">
        <f t="shared" si="3"/>
        <v>43160</v>
      </c>
      <c r="K4" s="13">
        <f t="shared" si="4"/>
        <v>43190</v>
      </c>
      <c r="N4" s="9" t="s">
        <v>99</v>
      </c>
      <c r="O4" s="9">
        <v>3</v>
      </c>
      <c r="P4" s="64">
        <v>2</v>
      </c>
      <c r="Q4" s="9" t="s">
        <v>103</v>
      </c>
      <c r="R4" s="9">
        <v>100</v>
      </c>
      <c r="S4" s="9"/>
      <c r="T4" s="9">
        <v>0</v>
      </c>
      <c r="U4" s="9"/>
      <c r="V4" s="9"/>
    </row>
    <row r="5" spans="1:22" ht="15">
      <c r="A5" s="160" t="str">
        <f t="shared" si="0"/>
        <v>Jeudi</v>
      </c>
      <c r="B5" s="167">
        <v>43230</v>
      </c>
      <c r="C5" s="166" t="s">
        <v>8</v>
      </c>
      <c r="D5" s="16" t="str">
        <f t="shared" si="1"/>
        <v>Férié</v>
      </c>
      <c r="E5" s="16"/>
      <c r="G5" s="9" t="s">
        <v>33</v>
      </c>
      <c r="H5" s="9">
        <f t="shared" si="2"/>
        <v>2018</v>
      </c>
      <c r="I5" s="9">
        <v>4</v>
      </c>
      <c r="J5" s="13">
        <f t="shared" si="3"/>
        <v>43191</v>
      </c>
      <c r="K5" s="13">
        <f t="shared" si="4"/>
        <v>43220</v>
      </c>
      <c r="N5" s="9" t="s">
        <v>99</v>
      </c>
      <c r="O5" s="9">
        <v>4</v>
      </c>
      <c r="P5" s="64">
        <v>3</v>
      </c>
      <c r="Q5" s="9" t="s">
        <v>104</v>
      </c>
      <c r="R5" s="9">
        <v>80</v>
      </c>
      <c r="S5" s="9"/>
      <c r="T5" s="9">
        <v>0</v>
      </c>
      <c r="U5" s="9"/>
      <c r="V5" s="9"/>
    </row>
    <row r="6" spans="1:22" ht="15">
      <c r="A6" s="160" t="str">
        <f t="shared" si="0"/>
        <v>Lundi</v>
      </c>
      <c r="B6" s="167">
        <v>43241</v>
      </c>
      <c r="C6" s="166" t="s">
        <v>9</v>
      </c>
      <c r="D6" s="16" t="str">
        <f t="shared" si="1"/>
        <v>Férié</v>
      </c>
      <c r="E6" s="16"/>
      <c r="G6" s="9" t="s">
        <v>34</v>
      </c>
      <c r="H6" s="9">
        <f t="shared" si="2"/>
        <v>2018</v>
      </c>
      <c r="I6" s="9">
        <v>5</v>
      </c>
      <c r="J6" s="13">
        <f t="shared" si="3"/>
        <v>43221</v>
      </c>
      <c r="K6" s="13">
        <f t="shared" si="4"/>
        <v>43251</v>
      </c>
      <c r="N6" s="9" t="s">
        <v>99</v>
      </c>
      <c r="O6" s="9">
        <v>5</v>
      </c>
      <c r="P6" s="64">
        <v>4</v>
      </c>
      <c r="Q6" s="9" t="s">
        <v>105</v>
      </c>
      <c r="R6" s="9">
        <v>125</v>
      </c>
      <c r="S6" s="9"/>
      <c r="T6" s="9">
        <v>0</v>
      </c>
      <c r="U6" s="9"/>
      <c r="V6" s="9"/>
    </row>
    <row r="7" spans="1:22" ht="15">
      <c r="A7" s="160" t="str">
        <f t="shared" si="0"/>
        <v>Samedi</v>
      </c>
      <c r="B7" s="167">
        <v>43302</v>
      </c>
      <c r="C7" s="161" t="s">
        <v>10</v>
      </c>
      <c r="D7" s="16" t="str">
        <f t="shared" si="1"/>
        <v>Samedi</v>
      </c>
      <c r="E7" s="16"/>
      <c r="G7" s="9" t="s">
        <v>35</v>
      </c>
      <c r="H7" s="9">
        <f t="shared" si="2"/>
        <v>2018</v>
      </c>
      <c r="I7" s="9">
        <v>6</v>
      </c>
      <c r="J7" s="13">
        <f t="shared" si="3"/>
        <v>43252</v>
      </c>
      <c r="K7" s="13">
        <f t="shared" si="4"/>
        <v>43281</v>
      </c>
      <c r="N7" s="9" t="s">
        <v>99</v>
      </c>
      <c r="O7" s="9">
        <v>6</v>
      </c>
      <c r="P7" s="64">
        <v>5</v>
      </c>
      <c r="Q7" s="9" t="s">
        <v>106</v>
      </c>
      <c r="R7" s="9">
        <v>125</v>
      </c>
      <c r="S7" s="9">
        <v>100</v>
      </c>
      <c r="T7" s="9">
        <v>0</v>
      </c>
      <c r="U7" s="9"/>
      <c r="V7" s="9"/>
    </row>
    <row r="8" spans="1:22" ht="15">
      <c r="A8" s="160" t="str">
        <f t="shared" si="0"/>
        <v>Mercredi</v>
      </c>
      <c r="B8" s="167">
        <v>43327</v>
      </c>
      <c r="C8" s="161" t="s">
        <v>11</v>
      </c>
      <c r="D8" s="16" t="str">
        <f t="shared" si="1"/>
        <v>Férié</v>
      </c>
      <c r="E8" s="16"/>
      <c r="G8" s="9" t="s">
        <v>36</v>
      </c>
      <c r="H8" s="9">
        <f t="shared" si="2"/>
        <v>2018</v>
      </c>
      <c r="I8" s="9">
        <v>7</v>
      </c>
      <c r="J8" s="13">
        <f t="shared" si="3"/>
        <v>43282</v>
      </c>
      <c r="K8" s="13">
        <f t="shared" si="4"/>
        <v>43312</v>
      </c>
      <c r="N8" s="9" t="s">
        <v>99</v>
      </c>
      <c r="O8" s="9">
        <v>7</v>
      </c>
      <c r="P8" s="64">
        <v>6</v>
      </c>
      <c r="Q8" s="9" t="s">
        <v>107</v>
      </c>
      <c r="R8" s="9">
        <v>100</v>
      </c>
      <c r="S8" s="9">
        <v>100</v>
      </c>
      <c r="T8" s="9">
        <v>0</v>
      </c>
      <c r="U8" s="9"/>
      <c r="V8" s="9"/>
    </row>
    <row r="9" spans="1:22" ht="15">
      <c r="A9" s="160" t="str">
        <f t="shared" si="0"/>
        <v>Jeudi</v>
      </c>
      <c r="B9" s="167">
        <v>43405</v>
      </c>
      <c r="C9" s="161" t="s">
        <v>13</v>
      </c>
      <c r="D9" s="16" t="str">
        <f t="shared" si="1"/>
        <v>Férié</v>
      </c>
      <c r="E9" s="16"/>
      <c r="G9" s="9" t="s">
        <v>37</v>
      </c>
      <c r="H9" s="9">
        <f t="shared" si="2"/>
        <v>2018</v>
      </c>
      <c r="I9" s="9">
        <v>8</v>
      </c>
      <c r="J9" s="13">
        <f t="shared" si="3"/>
        <v>43313</v>
      </c>
      <c r="K9" s="13">
        <f t="shared" si="4"/>
        <v>43343</v>
      </c>
      <c r="N9" s="9" t="s">
        <v>100</v>
      </c>
      <c r="O9" s="9">
        <v>1</v>
      </c>
      <c r="P9" s="64">
        <v>7</v>
      </c>
      <c r="Q9" s="9" t="s">
        <v>108</v>
      </c>
      <c r="R9" s="9">
        <v>0</v>
      </c>
      <c r="S9" s="9">
        <v>0</v>
      </c>
      <c r="T9" s="9">
        <v>0</v>
      </c>
      <c r="U9" s="9"/>
      <c r="V9" s="9"/>
    </row>
    <row r="10" spans="1:22" ht="15">
      <c r="A10" s="160" t="str">
        <f t="shared" si="0"/>
        <v>Dimanche</v>
      </c>
      <c r="B10" s="167">
        <v>43415</v>
      </c>
      <c r="C10" s="161" t="s">
        <v>15</v>
      </c>
      <c r="D10" s="16" t="str">
        <f t="shared" si="1"/>
        <v>Férié</v>
      </c>
      <c r="E10" s="16"/>
      <c r="G10" s="9" t="s">
        <v>38</v>
      </c>
      <c r="H10" s="9">
        <f t="shared" si="2"/>
        <v>2018</v>
      </c>
      <c r="I10" s="9">
        <v>9</v>
      </c>
      <c r="J10" s="13">
        <f t="shared" si="3"/>
        <v>43344</v>
      </c>
      <c r="K10" s="13">
        <f t="shared" si="4"/>
        <v>43373</v>
      </c>
      <c r="N10" s="9" t="s">
        <v>100</v>
      </c>
      <c r="O10" s="9">
        <v>2</v>
      </c>
      <c r="P10" s="64">
        <v>1</v>
      </c>
      <c r="Q10" s="9" t="s">
        <v>109</v>
      </c>
      <c r="R10" s="9">
        <v>0</v>
      </c>
      <c r="S10" s="9"/>
      <c r="T10" s="9">
        <v>0</v>
      </c>
      <c r="U10" s="9"/>
      <c r="V10" s="9"/>
    </row>
    <row r="11" spans="1:22" ht="15">
      <c r="A11" s="160" t="str">
        <f t="shared" si="0"/>
        <v>Mardi</v>
      </c>
      <c r="B11" s="167">
        <v>43459</v>
      </c>
      <c r="C11" s="161" t="s">
        <v>16</v>
      </c>
      <c r="D11" s="16" t="str">
        <f t="shared" si="1"/>
        <v>Férié</v>
      </c>
      <c r="E11" s="16"/>
      <c r="G11" s="9" t="s">
        <v>39</v>
      </c>
      <c r="H11" s="9">
        <f t="shared" si="2"/>
        <v>2018</v>
      </c>
      <c r="I11" s="9">
        <v>10</v>
      </c>
      <c r="J11" s="13">
        <f t="shared" si="3"/>
        <v>43374</v>
      </c>
      <c r="K11" s="13">
        <f t="shared" si="4"/>
        <v>43404</v>
      </c>
      <c r="N11" s="9" t="s">
        <v>100</v>
      </c>
      <c r="O11" s="9">
        <v>3</v>
      </c>
      <c r="P11" s="64">
        <v>2</v>
      </c>
      <c r="Q11" s="9" t="s">
        <v>110</v>
      </c>
      <c r="R11" s="9">
        <v>0</v>
      </c>
      <c r="S11" s="9"/>
      <c r="T11" s="9">
        <v>0</v>
      </c>
      <c r="U11" s="9"/>
      <c r="V11" s="9"/>
    </row>
    <row r="12" spans="1:22" ht="15">
      <c r="A12" s="162"/>
      <c r="E12" s="16"/>
      <c r="G12" s="9" t="s">
        <v>40</v>
      </c>
      <c r="H12" s="9">
        <f t="shared" si="2"/>
        <v>2018</v>
      </c>
      <c r="I12" s="9">
        <v>11</v>
      </c>
      <c r="J12" s="13">
        <f t="shared" si="3"/>
        <v>43405</v>
      </c>
      <c r="K12" s="13">
        <f t="shared" si="4"/>
        <v>43434</v>
      </c>
      <c r="N12" s="9" t="s">
        <v>100</v>
      </c>
      <c r="O12" s="9">
        <v>4</v>
      </c>
      <c r="P12" s="64">
        <v>3</v>
      </c>
      <c r="Q12" s="9" t="s">
        <v>111</v>
      </c>
      <c r="R12" s="9">
        <v>0</v>
      </c>
      <c r="S12" s="9"/>
      <c r="T12" s="9">
        <v>0</v>
      </c>
      <c r="U12" s="9"/>
      <c r="V12" s="9"/>
    </row>
    <row r="13" spans="1:22" ht="15">
      <c r="A13" s="162"/>
      <c r="E13" s="16"/>
      <c r="G13" s="9" t="s">
        <v>41</v>
      </c>
      <c r="H13" s="9">
        <f t="shared" si="2"/>
        <v>2018</v>
      </c>
      <c r="I13" s="9">
        <v>12</v>
      </c>
      <c r="J13" s="13">
        <f t="shared" si="3"/>
        <v>43435</v>
      </c>
      <c r="K13" s="13">
        <f t="shared" si="4"/>
        <v>43465</v>
      </c>
      <c r="N13" s="9" t="s">
        <v>100</v>
      </c>
      <c r="O13" s="9">
        <v>5</v>
      </c>
      <c r="P13" s="64">
        <v>4</v>
      </c>
      <c r="Q13" s="9" t="s">
        <v>112</v>
      </c>
      <c r="R13" s="9">
        <v>0</v>
      </c>
      <c r="S13" s="9"/>
      <c r="T13" s="9">
        <v>0</v>
      </c>
      <c r="U13" s="9"/>
      <c r="V13" s="9"/>
    </row>
    <row r="14" spans="2:22" ht="15">
      <c r="B14" s="72">
        <f>1+INT(MIN(MOD(B11-DATE(YEAR(B11)+{-1;0;1},1,5)+WEEKDAY(DATE(YEAR(B11)+{-1;0;1},1,3)),734))/7)</f>
        <v>52</v>
      </c>
      <c r="E14" s="16"/>
      <c r="N14" s="9" t="s">
        <v>100</v>
      </c>
      <c r="O14" s="9">
        <v>6</v>
      </c>
      <c r="P14" s="64">
        <v>5</v>
      </c>
      <c r="Q14" s="9" t="s">
        <v>113</v>
      </c>
      <c r="R14" s="9">
        <v>0</v>
      </c>
      <c r="S14" s="9">
        <v>0</v>
      </c>
      <c r="T14" s="9">
        <v>0</v>
      </c>
      <c r="U14" s="9"/>
      <c r="V14" s="9"/>
    </row>
    <row r="15" spans="5:22" ht="15">
      <c r="E15" s="16"/>
      <c r="N15" s="9" t="s">
        <v>100</v>
      </c>
      <c r="O15" s="9">
        <v>7</v>
      </c>
      <c r="P15" s="64">
        <v>6</v>
      </c>
      <c r="Q15" s="9" t="s">
        <v>114</v>
      </c>
      <c r="R15" s="9">
        <v>0</v>
      </c>
      <c r="S15" s="80">
        <v>0</v>
      </c>
      <c r="T15" s="9">
        <v>0</v>
      </c>
      <c r="U15" s="9"/>
      <c r="V15" s="9"/>
    </row>
    <row r="16" spans="5:22" ht="15">
      <c r="E16" s="16"/>
      <c r="N16" s="9"/>
      <c r="O16" s="9"/>
      <c r="P16" s="9"/>
      <c r="Q16" s="9"/>
      <c r="R16" s="9"/>
      <c r="S16" s="9"/>
      <c r="T16" s="9"/>
      <c r="U16" s="9"/>
      <c r="V16" s="9"/>
    </row>
    <row r="17" ht="15">
      <c r="E17" s="16"/>
    </row>
    <row r="18" spans="5:15" ht="15">
      <c r="E18" s="16"/>
      <c r="G18" s="218" t="s">
        <v>125</v>
      </c>
      <c r="H18" s="218"/>
      <c r="I18" s="218"/>
      <c r="J18" s="218"/>
      <c r="K18" s="218"/>
      <c r="N18" s="9" t="s">
        <v>153</v>
      </c>
      <c r="O18" s="9" t="s">
        <v>152</v>
      </c>
    </row>
    <row r="19" spans="5:15" ht="15">
      <c r="E19" s="16"/>
      <c r="G19" s="73" t="s">
        <v>124</v>
      </c>
      <c r="H19" s="73">
        <f>H21-H20</f>
        <v>4</v>
      </c>
      <c r="I19" s="9"/>
      <c r="J19" s="9"/>
      <c r="K19" s="9"/>
      <c r="N19" s="9">
        <v>1</v>
      </c>
      <c r="O19" s="9" t="s">
        <v>2</v>
      </c>
    </row>
    <row r="20" spans="5:15" ht="15">
      <c r="E20" s="16"/>
      <c r="G20" s="73" t="s">
        <v>122</v>
      </c>
      <c r="H20" s="73">
        <f>MIN(Encodage!I26:I56)</f>
        <v>31</v>
      </c>
      <c r="I20" s="9"/>
      <c r="J20" s="9"/>
      <c r="K20" s="9"/>
      <c r="N20" s="9">
        <v>2</v>
      </c>
      <c r="O20" s="9" t="s">
        <v>14</v>
      </c>
    </row>
    <row r="21" spans="5:15" ht="15">
      <c r="E21" s="16"/>
      <c r="G21" s="73" t="s">
        <v>123</v>
      </c>
      <c r="H21" s="73">
        <f>MAX(Encodage!I26:I56)</f>
        <v>35</v>
      </c>
      <c r="I21" s="73"/>
      <c r="J21" s="9"/>
      <c r="K21" s="9"/>
      <c r="N21" s="9">
        <v>3</v>
      </c>
      <c r="O21" s="9" t="s">
        <v>0</v>
      </c>
    </row>
    <row r="22" spans="7:15" ht="15">
      <c r="G22" s="9"/>
      <c r="H22" s="9"/>
      <c r="I22" s="9"/>
      <c r="J22" s="9"/>
      <c r="K22" s="9"/>
      <c r="N22" s="9">
        <v>4</v>
      </c>
      <c r="O22" s="9" t="s">
        <v>6</v>
      </c>
    </row>
    <row r="23" spans="7:15" ht="15">
      <c r="G23" s="74" t="s">
        <v>126</v>
      </c>
      <c r="H23" s="74" t="s">
        <v>128</v>
      </c>
      <c r="I23" s="74"/>
      <c r="J23" s="9"/>
      <c r="K23" s="9"/>
      <c r="N23" s="9">
        <v>5</v>
      </c>
      <c r="O23" s="9" t="s">
        <v>3</v>
      </c>
    </row>
    <row r="24" spans="7:15" ht="15">
      <c r="G24" s="74">
        <f>H20</f>
        <v>31</v>
      </c>
      <c r="H24" s="74">
        <f>IF(G24="","",SUMIF(Encodage!$I$26:$I$56,'Cal 2018'!G24,Encodage!$W$26:$W$56))</f>
        <v>0</v>
      </c>
      <c r="I24" s="74">
        <f>IF(H24=0,"",H24)</f>
      </c>
      <c r="J24" s="9"/>
      <c r="K24" s="9"/>
      <c r="N24" s="9">
        <v>6</v>
      </c>
      <c r="O24" s="9" t="s">
        <v>12</v>
      </c>
    </row>
    <row r="25" spans="7:15" ht="15">
      <c r="G25" s="74">
        <f>IF(ISERROR(IF((G24+1)&gt;$H$21,"",G24+1)),"",IF((G24+1)&gt;$H$21,"",G24+1))</f>
        <v>32</v>
      </c>
      <c r="H25" s="74">
        <f>IF(G25="","",SUMIF(Encodage!$I$26:$I$56,'Cal 2018'!G25,Encodage!$W$26:$W$56))</f>
        <v>0</v>
      </c>
      <c r="I25" s="74">
        <f>IF(H25=0,"",H25)</f>
      </c>
      <c r="J25" s="9"/>
      <c r="K25" s="9"/>
      <c r="N25" s="9">
        <v>7</v>
      </c>
      <c r="O25" s="9" t="s">
        <v>4</v>
      </c>
    </row>
    <row r="26" spans="7:11" ht="15">
      <c r="G26" s="74">
        <f>IF(ISERROR(IF((G25+1)&gt;$H$21,"",G25+1)),"",IF((G25+1)&gt;$H$21,"",G25+1))</f>
        <v>33</v>
      </c>
      <c r="H26" s="74">
        <f>IF(G26="","",SUMIF(Encodage!$I$26:$I$56,'Cal 2018'!G26,Encodage!$W$26:$W$56))</f>
        <v>0</v>
      </c>
      <c r="I26" s="74">
        <f>IF(H26=0,"",H26)</f>
      </c>
      <c r="J26" s="9"/>
      <c r="K26" s="9"/>
    </row>
    <row r="27" spans="7:11" ht="15">
      <c r="G27" s="74">
        <f>IF(ISERROR(IF((G26+1)&gt;$H$21,"",G26+1)),"",IF((G26+1)&gt;$H$21,"",G26+1))</f>
        <v>34</v>
      </c>
      <c r="H27" s="74">
        <f>IF(G27="","",SUMIF(Encodage!$I$26:$I$56,'Cal 2018'!G27,Encodage!$W$26:$W$56))</f>
        <v>0</v>
      </c>
      <c r="I27" s="74">
        <f>IF(H27=0,"",H27)</f>
      </c>
      <c r="J27" s="9"/>
      <c r="K27" s="9"/>
    </row>
    <row r="28" spans="7:11" ht="15">
      <c r="G28" s="74">
        <f>IF(ISERROR(IF((G27+1)&gt;$H$21,"",G27+1)),"",IF((G27+1)&gt;$H$21,"",G27+1))</f>
        <v>35</v>
      </c>
      <c r="H28" s="74">
        <f>IF(G28="","",SUMIF(Encodage!$I$26:$I$56,'Cal 2018'!G28,Encodage!$W$26:$W$56))</f>
        <v>0</v>
      </c>
      <c r="I28" s="74">
        <f>IF(H28=0,"",H28)</f>
      </c>
      <c r="J28" s="9"/>
      <c r="K28" s="9"/>
    </row>
    <row r="29" spans="7:11" ht="15">
      <c r="G29" s="74">
        <f>IF(ISERROR(IF((G28+1)&gt;$H$21,"",G28+1)),"",IF((G28+1)&gt;$H$21,"",G28+1))</f>
      </c>
      <c r="H29" s="74">
        <f>IF(G29="","",SUMIF(Encodage!$I$26:$I$56,'Cal 2018'!G29,Encodage!$W$26:$W$56))</f>
      </c>
      <c r="I29" s="74"/>
      <c r="J29" s="9"/>
      <c r="K29" s="9"/>
    </row>
    <row r="30" spans="7:11" ht="15">
      <c r="G30" s="74" t="s">
        <v>127</v>
      </c>
      <c r="H30" s="74">
        <f>AVERAGE(H24:H29)</f>
        <v>0</v>
      </c>
      <c r="I30" s="9" t="e">
        <f>AVERAGE(I24:I28)</f>
        <v>#DIV/0!</v>
      </c>
      <c r="J30" s="9"/>
      <c r="K30" s="9"/>
    </row>
  </sheetData>
  <sheetProtection password="EFE9" sheet="1"/>
  <mergeCells count="2">
    <mergeCell ref="A1:C1"/>
    <mergeCell ref="G18:K18"/>
  </mergeCells>
  <conditionalFormatting sqref="D1:D13">
    <cfRule type="cellIs" priority="1" dxfId="12" operator="equal" stopIfTrue="1">
      <formula>"Samedi"</formula>
    </cfRule>
  </conditionalFormatting>
  <hyperlinks>
    <hyperlink ref="A1:C1" r:id="rId1" display="http://www.emploi.belgique.be/detailA_Z.aspx?id=926"/>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sheetPr codeName="Feuil4">
    <tabColor rgb="FFFFFF00"/>
    <pageSetUpPr fitToPage="1"/>
  </sheetPr>
  <dimension ref="A1:P41"/>
  <sheetViews>
    <sheetView showGridLines="0" zoomScalePageLayoutView="0" workbookViewId="0" topLeftCell="A1">
      <selection activeCell="C39" sqref="C39"/>
    </sheetView>
  </sheetViews>
  <sheetFormatPr defaultColWidth="11.421875" defaultRowHeight="15"/>
  <cols>
    <col min="1" max="1" width="3.8515625" style="0" customWidth="1"/>
    <col min="2" max="2" width="11.140625" style="0" bestFit="1" customWidth="1"/>
    <col min="16" max="16" width="12.7109375" style="0" customWidth="1"/>
  </cols>
  <sheetData>
    <row r="1" spans="1:16" ht="15">
      <c r="A1" s="101"/>
      <c r="B1" s="101"/>
      <c r="C1" s="101"/>
      <c r="D1" s="101"/>
      <c r="E1" s="101"/>
      <c r="F1" s="101"/>
      <c r="G1" s="101"/>
      <c r="H1" s="101"/>
      <c r="I1" s="101"/>
      <c r="J1" s="101"/>
      <c r="K1" s="101"/>
      <c r="L1" s="101"/>
      <c r="M1" s="101"/>
      <c r="N1" s="101"/>
      <c r="O1" s="101"/>
      <c r="P1" s="101"/>
    </row>
    <row r="2" spans="1:16" ht="15.75">
      <c r="A2" s="220" t="s">
        <v>162</v>
      </c>
      <c r="B2" s="220"/>
      <c r="C2" s="220"/>
      <c r="D2" s="220"/>
      <c r="E2" s="220"/>
      <c r="F2" s="220"/>
      <c r="G2" s="220"/>
      <c r="H2" s="101"/>
      <c r="L2" s="141" t="s">
        <v>173</v>
      </c>
      <c r="M2" s="140"/>
      <c r="N2" s="102"/>
      <c r="O2" s="102"/>
      <c r="P2" s="103"/>
    </row>
    <row r="3" spans="1:16" ht="15">
      <c r="A3" s="101"/>
      <c r="B3" s="101"/>
      <c r="C3" s="101"/>
      <c r="D3" s="101"/>
      <c r="E3" s="101"/>
      <c r="F3" s="101"/>
      <c r="G3" s="101"/>
      <c r="H3" s="101"/>
      <c r="L3" s="145" t="s">
        <v>174</v>
      </c>
      <c r="M3" s="148"/>
      <c r="N3" s="104"/>
      <c r="O3" s="104"/>
      <c r="P3" s="105"/>
    </row>
    <row r="4" spans="1:16" ht="15">
      <c r="A4" s="101" t="s">
        <v>161</v>
      </c>
      <c r="B4" s="101"/>
      <c r="C4" s="101"/>
      <c r="D4" s="101"/>
      <c r="E4" s="101"/>
      <c r="F4" s="101"/>
      <c r="G4" s="101"/>
      <c r="H4" s="101"/>
      <c r="L4" s="145"/>
      <c r="M4" s="148"/>
      <c r="N4" s="143"/>
      <c r="O4" s="143"/>
      <c r="P4" s="144"/>
    </row>
    <row r="5" spans="1:16" ht="15">
      <c r="A5" s="101"/>
      <c r="B5" s="101"/>
      <c r="C5" s="101"/>
      <c r="D5" s="101"/>
      <c r="E5" s="101"/>
      <c r="F5" s="101"/>
      <c r="G5" s="101"/>
      <c r="H5" s="101"/>
      <c r="I5" s="101"/>
      <c r="J5" s="101"/>
      <c r="K5" s="101"/>
      <c r="L5" s="149" t="s">
        <v>172</v>
      </c>
      <c r="M5" s="143"/>
      <c r="N5" s="143"/>
      <c r="O5" s="143"/>
      <c r="P5" s="144"/>
    </row>
    <row r="6" spans="1:16" ht="15">
      <c r="A6" s="101"/>
      <c r="B6" s="106">
        <v>1.01</v>
      </c>
      <c r="C6" s="219" t="s">
        <v>141</v>
      </c>
      <c r="D6" s="219"/>
      <c r="E6" s="219"/>
      <c r="F6" s="219"/>
      <c r="G6" s="219"/>
      <c r="H6" s="219"/>
      <c r="I6" s="143"/>
      <c r="K6" s="146"/>
      <c r="L6" s="149"/>
      <c r="M6" s="146"/>
      <c r="N6" s="146"/>
      <c r="O6" s="143"/>
      <c r="P6" s="144"/>
    </row>
    <row r="7" spans="1:16" ht="15">
      <c r="A7" s="101"/>
      <c r="B7" s="106">
        <v>1.02</v>
      </c>
      <c r="C7" s="108" t="s">
        <v>202</v>
      </c>
      <c r="D7" s="108"/>
      <c r="E7" s="108"/>
      <c r="F7" s="108"/>
      <c r="G7" s="108"/>
      <c r="H7" s="108"/>
      <c r="J7" s="146"/>
      <c r="K7" s="146"/>
      <c r="L7" s="145" t="s">
        <v>170</v>
      </c>
      <c r="M7" s="146"/>
      <c r="N7" s="146"/>
      <c r="O7" s="143"/>
      <c r="P7" s="144"/>
    </row>
    <row r="8" spans="1:16" ht="15">
      <c r="A8" s="101"/>
      <c r="B8" s="106">
        <v>1.03</v>
      </c>
      <c r="C8" s="219" t="s">
        <v>169</v>
      </c>
      <c r="D8" s="219"/>
      <c r="E8" s="219"/>
      <c r="F8" s="219"/>
      <c r="G8" s="219"/>
      <c r="H8" s="219"/>
      <c r="L8" s="145" t="s">
        <v>175</v>
      </c>
      <c r="M8" s="148"/>
      <c r="N8" s="148"/>
      <c r="O8" s="143"/>
      <c r="P8" s="144"/>
    </row>
    <row r="9" spans="1:16" ht="15">
      <c r="A9" s="101"/>
      <c r="B9" s="106">
        <v>1.04</v>
      </c>
      <c r="C9" s="219" t="s">
        <v>142</v>
      </c>
      <c r="D9" s="219"/>
      <c r="E9" s="219"/>
      <c r="F9" s="219"/>
      <c r="G9" s="219"/>
      <c r="H9" s="219"/>
      <c r="J9" s="147"/>
      <c r="K9" s="147"/>
      <c r="L9" s="142" t="s">
        <v>171</v>
      </c>
      <c r="M9" s="157"/>
      <c r="N9" s="157"/>
      <c r="O9" s="157"/>
      <c r="P9" s="158"/>
    </row>
    <row r="10" spans="1:16" ht="15">
      <c r="A10" s="101"/>
      <c r="B10" s="106">
        <v>1.05</v>
      </c>
      <c r="C10" s="219" t="s">
        <v>143</v>
      </c>
      <c r="D10" s="219"/>
      <c r="E10" s="219"/>
      <c r="F10" s="219"/>
      <c r="G10" s="219"/>
      <c r="H10" s="219"/>
      <c r="I10" s="146"/>
      <c r="J10" s="146"/>
      <c r="K10" s="146"/>
      <c r="L10" s="148"/>
      <c r="M10" s="146"/>
      <c r="N10" s="146"/>
      <c r="O10" s="146"/>
      <c r="P10" s="146"/>
    </row>
    <row r="11" spans="1:16" ht="15">
      <c r="A11" s="101"/>
      <c r="B11" s="106">
        <v>1.06</v>
      </c>
      <c r="C11" s="219" t="s">
        <v>147</v>
      </c>
      <c r="D11" s="219"/>
      <c r="E11" s="219"/>
      <c r="F11" s="219"/>
      <c r="G11" s="219"/>
      <c r="H11" s="219"/>
      <c r="I11" s="101"/>
      <c r="J11" s="101"/>
      <c r="K11" s="101"/>
      <c r="L11" s="148"/>
      <c r="M11" s="104"/>
      <c r="N11" s="104"/>
      <c r="O11" s="104"/>
      <c r="P11" s="104"/>
    </row>
    <row r="12" spans="1:16" ht="15">
      <c r="A12" s="101"/>
      <c r="B12" s="106">
        <v>1.07</v>
      </c>
      <c r="C12" s="107" t="s">
        <v>190</v>
      </c>
      <c r="D12" s="107"/>
      <c r="E12" s="107"/>
      <c r="F12" s="107"/>
      <c r="G12" s="107"/>
      <c r="H12" s="107"/>
      <c r="I12" s="101"/>
      <c r="J12" s="101"/>
      <c r="K12" s="101"/>
      <c r="L12" s="148"/>
      <c r="M12" s="104"/>
      <c r="N12" s="104"/>
      <c r="O12" s="104"/>
      <c r="P12" s="104"/>
    </row>
    <row r="13" spans="1:16" ht="15">
      <c r="A13" s="101"/>
      <c r="B13" s="106">
        <v>1.08</v>
      </c>
      <c r="C13" s="107" t="s">
        <v>144</v>
      </c>
      <c r="D13" s="107"/>
      <c r="E13" s="107"/>
      <c r="F13" s="107"/>
      <c r="G13" s="107"/>
      <c r="H13" s="107"/>
      <c r="I13" s="101"/>
      <c r="J13" s="101"/>
      <c r="K13" s="101"/>
      <c r="M13" s="104"/>
      <c r="N13" s="104"/>
      <c r="O13" s="104"/>
      <c r="P13" s="104"/>
    </row>
    <row r="14" spans="1:11" ht="15">
      <c r="A14" s="101"/>
      <c r="B14" s="106">
        <v>1.09</v>
      </c>
      <c r="C14" s="108" t="s">
        <v>163</v>
      </c>
      <c r="D14" s="108"/>
      <c r="E14" s="108"/>
      <c r="F14" s="108"/>
      <c r="G14" s="108"/>
      <c r="H14" s="108"/>
      <c r="I14" s="101"/>
      <c r="J14" s="101"/>
      <c r="K14" s="101"/>
    </row>
    <row r="15" spans="1:16" ht="15">
      <c r="A15" s="101"/>
      <c r="B15" s="101"/>
      <c r="C15" s="109" t="s">
        <v>189</v>
      </c>
      <c r="D15" s="108"/>
      <c r="E15" s="108"/>
      <c r="F15" s="108"/>
      <c r="G15" s="108"/>
      <c r="H15" s="108"/>
      <c r="I15" s="101"/>
      <c r="J15" s="101"/>
      <c r="K15" s="101"/>
      <c r="L15" s="101"/>
      <c r="M15" s="101"/>
      <c r="N15" s="101"/>
      <c r="O15" s="101"/>
      <c r="P15" s="101"/>
    </row>
    <row r="16" spans="1:16" ht="15">
      <c r="A16" s="101"/>
      <c r="B16" s="101"/>
      <c r="C16" s="109" t="s">
        <v>155</v>
      </c>
      <c r="D16" s="108"/>
      <c r="E16" s="108"/>
      <c r="F16" s="108"/>
      <c r="G16" s="108"/>
      <c r="H16" s="108"/>
      <c r="I16" s="101"/>
      <c r="J16" s="101"/>
      <c r="K16" s="101"/>
      <c r="L16" s="101"/>
      <c r="M16" s="101"/>
      <c r="N16" s="101"/>
      <c r="O16" s="101"/>
      <c r="P16" s="101"/>
    </row>
    <row r="17" spans="1:16" ht="15">
      <c r="A17" s="101"/>
      <c r="B17" s="101"/>
      <c r="C17" s="109" t="s">
        <v>156</v>
      </c>
      <c r="D17" s="108"/>
      <c r="E17" s="108"/>
      <c r="F17" s="108"/>
      <c r="G17" s="108"/>
      <c r="H17" s="108"/>
      <c r="I17" s="101"/>
      <c r="J17" s="101"/>
      <c r="K17" s="101"/>
      <c r="L17" s="101"/>
      <c r="M17" s="101"/>
      <c r="N17" s="101"/>
      <c r="O17" s="101"/>
      <c r="P17" s="101"/>
    </row>
    <row r="18" spans="1:16" ht="15">
      <c r="A18" s="101"/>
      <c r="B18" s="101"/>
      <c r="C18" s="109" t="s">
        <v>167</v>
      </c>
      <c r="D18" s="108"/>
      <c r="E18" s="108"/>
      <c r="F18" s="108"/>
      <c r="G18" s="108"/>
      <c r="H18" s="108"/>
      <c r="I18" s="101"/>
      <c r="J18" s="101"/>
      <c r="K18" s="101"/>
      <c r="L18" s="101"/>
      <c r="M18" s="101"/>
      <c r="N18" s="101"/>
      <c r="O18" s="101"/>
      <c r="P18" s="101"/>
    </row>
    <row r="19" spans="1:16" ht="15">
      <c r="A19" s="101"/>
      <c r="B19" s="101"/>
      <c r="C19" s="109" t="s">
        <v>165</v>
      </c>
      <c r="D19" s="108"/>
      <c r="E19" s="108"/>
      <c r="F19" s="108"/>
      <c r="G19" s="108"/>
      <c r="H19" s="108"/>
      <c r="I19" s="101"/>
      <c r="J19" s="101"/>
      <c r="K19" s="101"/>
      <c r="L19" s="101"/>
      <c r="M19" s="101"/>
      <c r="N19" s="101"/>
      <c r="O19" s="101"/>
      <c r="P19" s="101"/>
    </row>
    <row r="20" spans="1:16" ht="15">
      <c r="A20" s="101"/>
      <c r="B20" s="101"/>
      <c r="C20" s="109" t="s">
        <v>166</v>
      </c>
      <c r="D20" s="107"/>
      <c r="E20" s="107"/>
      <c r="F20" s="107"/>
      <c r="G20" s="107"/>
      <c r="H20" s="107"/>
      <c r="I20" s="101"/>
      <c r="J20" s="101"/>
      <c r="K20" s="101"/>
      <c r="L20" s="101"/>
      <c r="M20" s="101"/>
      <c r="N20" s="101"/>
      <c r="O20" s="101"/>
      <c r="P20" s="101"/>
    </row>
    <row r="21" spans="1:16" ht="15">
      <c r="A21" s="101"/>
      <c r="B21" s="101"/>
      <c r="C21" s="110"/>
      <c r="D21" s="107"/>
      <c r="E21" s="107"/>
      <c r="F21" s="107"/>
      <c r="G21" s="107"/>
      <c r="H21" s="107"/>
      <c r="I21" s="101"/>
      <c r="J21" s="101"/>
      <c r="K21" s="101"/>
      <c r="L21" s="101"/>
      <c r="M21" s="101"/>
      <c r="N21" s="101"/>
      <c r="O21" s="101"/>
      <c r="P21" s="101"/>
    </row>
    <row r="22" spans="1:16" ht="15">
      <c r="A22" s="101"/>
      <c r="B22" s="101"/>
      <c r="C22" s="110" t="s">
        <v>157</v>
      </c>
      <c r="D22" s="107"/>
      <c r="E22" s="107"/>
      <c r="F22" s="107"/>
      <c r="G22" s="107"/>
      <c r="H22" s="107"/>
      <c r="I22" s="101"/>
      <c r="J22" s="101"/>
      <c r="K22" s="101"/>
      <c r="L22" s="101"/>
      <c r="M22" s="101"/>
      <c r="N22" s="101"/>
      <c r="O22" s="101"/>
      <c r="P22" s="101"/>
    </row>
    <row r="23" spans="1:16" ht="15">
      <c r="A23" s="101"/>
      <c r="B23" s="101"/>
      <c r="C23" s="111" t="s">
        <v>164</v>
      </c>
      <c r="D23" s="101"/>
      <c r="E23" s="101"/>
      <c r="F23" s="101"/>
      <c r="G23" s="101"/>
      <c r="H23" s="101"/>
      <c r="I23" s="101"/>
      <c r="J23" s="101"/>
      <c r="K23" s="101"/>
      <c r="L23" s="101"/>
      <c r="M23" s="101"/>
      <c r="N23" s="101"/>
      <c r="O23" s="101"/>
      <c r="P23" s="101"/>
    </row>
    <row r="24" spans="1:16" ht="15">
      <c r="A24" s="101"/>
      <c r="B24" s="101"/>
      <c r="C24" s="101"/>
      <c r="D24" s="101"/>
      <c r="E24" s="101"/>
      <c r="F24" s="101"/>
      <c r="G24" s="101"/>
      <c r="H24" s="101"/>
      <c r="I24" s="101"/>
      <c r="J24" s="101"/>
      <c r="K24" s="101"/>
      <c r="L24" s="101"/>
      <c r="M24" s="101"/>
      <c r="N24" s="101"/>
      <c r="O24" s="101"/>
      <c r="P24" s="101"/>
    </row>
    <row r="25" spans="1:16" ht="15">
      <c r="A25" s="101" t="s">
        <v>191</v>
      </c>
      <c r="B25" s="101"/>
      <c r="C25" s="101"/>
      <c r="D25" s="101"/>
      <c r="E25" s="101"/>
      <c r="F25" s="101"/>
      <c r="G25" s="101"/>
      <c r="H25" s="101"/>
      <c r="I25" s="101"/>
      <c r="J25" s="101"/>
      <c r="K25" s="101"/>
      <c r="L25" s="101"/>
      <c r="M25" s="101"/>
      <c r="N25" s="101"/>
      <c r="O25" s="101"/>
      <c r="P25" s="101"/>
    </row>
    <row r="26" spans="1:16" ht="15">
      <c r="A26" s="101"/>
      <c r="B26" s="106"/>
      <c r="C26" s="101"/>
      <c r="D26" s="101"/>
      <c r="E26" s="101"/>
      <c r="F26" s="101"/>
      <c r="G26" s="101"/>
      <c r="H26" s="101"/>
      <c r="I26" s="101"/>
      <c r="J26" s="101"/>
      <c r="K26" s="101"/>
      <c r="L26" s="101"/>
      <c r="M26" s="101"/>
      <c r="N26" s="101"/>
      <c r="O26" s="101"/>
      <c r="P26" s="101"/>
    </row>
    <row r="27" spans="1:16" ht="15">
      <c r="A27" s="101"/>
      <c r="B27" s="106">
        <v>2.01</v>
      </c>
      <c r="C27" s="101" t="s">
        <v>192</v>
      </c>
      <c r="D27" s="101"/>
      <c r="E27" s="101"/>
      <c r="F27" s="101"/>
      <c r="G27" s="101"/>
      <c r="H27" s="101"/>
      <c r="I27" s="101"/>
      <c r="J27" s="101"/>
      <c r="K27" s="101"/>
      <c r="L27" s="101"/>
      <c r="M27" s="101"/>
      <c r="N27" s="101"/>
      <c r="O27" s="101"/>
      <c r="P27" s="101"/>
    </row>
    <row r="28" spans="1:16" ht="15">
      <c r="A28" s="101"/>
      <c r="B28" s="106"/>
      <c r="C28" s="101" t="s">
        <v>193</v>
      </c>
      <c r="D28" s="101"/>
      <c r="E28" s="101"/>
      <c r="F28" s="101"/>
      <c r="G28" s="101"/>
      <c r="H28" s="101"/>
      <c r="I28" s="101"/>
      <c r="J28" s="101"/>
      <c r="K28" s="101"/>
      <c r="L28" s="101"/>
      <c r="M28" s="101"/>
      <c r="N28" s="101"/>
      <c r="O28" s="101"/>
      <c r="P28" s="101"/>
    </row>
    <row r="29" spans="1:16" ht="15">
      <c r="A29" s="101"/>
      <c r="B29" s="106">
        <v>2.02</v>
      </c>
      <c r="C29" s="101" t="s">
        <v>188</v>
      </c>
      <c r="D29" s="101"/>
      <c r="E29" s="101"/>
      <c r="F29" s="101"/>
      <c r="G29" s="101"/>
      <c r="H29" s="101"/>
      <c r="I29" s="101"/>
      <c r="J29" s="101"/>
      <c r="K29" s="101"/>
      <c r="L29" s="101"/>
      <c r="M29" s="101"/>
      <c r="N29" s="101"/>
      <c r="O29" s="101"/>
      <c r="P29" s="101"/>
    </row>
    <row r="30" spans="1:16" ht="15">
      <c r="A30" s="101"/>
      <c r="B30" s="106">
        <v>2.03</v>
      </c>
      <c r="C30" s="101" t="s">
        <v>194</v>
      </c>
      <c r="D30" s="101"/>
      <c r="E30" s="101"/>
      <c r="F30" s="101"/>
      <c r="G30" s="101"/>
      <c r="H30" s="101"/>
      <c r="I30" s="101"/>
      <c r="J30" s="101"/>
      <c r="K30" s="101"/>
      <c r="L30" s="101"/>
      <c r="M30" s="101"/>
      <c r="N30" s="101"/>
      <c r="O30" s="101"/>
      <c r="P30" s="101"/>
    </row>
    <row r="31" spans="1:16" ht="15">
      <c r="A31" s="101"/>
      <c r="K31" s="101"/>
      <c r="L31" s="101"/>
      <c r="M31" s="101"/>
      <c r="N31" s="101"/>
      <c r="O31" s="101"/>
      <c r="P31" s="101"/>
    </row>
    <row r="33" spans="2:3" ht="15">
      <c r="B33" s="78" t="s">
        <v>146</v>
      </c>
      <c r="C33" s="77" t="s">
        <v>195</v>
      </c>
    </row>
    <row r="34" ht="15">
      <c r="C34" s="77" t="s">
        <v>196</v>
      </c>
    </row>
    <row r="35" ht="15">
      <c r="C35" s="77" t="s">
        <v>197</v>
      </c>
    </row>
    <row r="36" ht="15">
      <c r="C36" s="77" t="s">
        <v>198</v>
      </c>
    </row>
    <row r="37" ht="15">
      <c r="C37" s="77" t="s">
        <v>199</v>
      </c>
    </row>
    <row r="38" ht="15">
      <c r="C38" s="77" t="s">
        <v>204</v>
      </c>
    </row>
    <row r="39" ht="15">
      <c r="C39" s="77"/>
    </row>
    <row r="40" ht="15">
      <c r="C40" s="77"/>
    </row>
    <row r="41" ht="15">
      <c r="C41" s="76" t="s">
        <v>145</v>
      </c>
    </row>
  </sheetData>
  <sheetProtection password="EFE9" sheet="1"/>
  <mergeCells count="6">
    <mergeCell ref="C10:H10"/>
    <mergeCell ref="C11:H11"/>
    <mergeCell ref="C9:H9"/>
    <mergeCell ref="A2:G2"/>
    <mergeCell ref="C6:H6"/>
    <mergeCell ref="C8:H8"/>
  </mergeCells>
  <printOptions/>
  <pageMargins left="0.7" right="0.7" top="0.75" bottom="0.75" header="0.3" footer="0.3"/>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ARCELORMITTAL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Cantigneaux</dc:creator>
  <cp:keywords/>
  <dc:description/>
  <cp:lastModifiedBy>Philippe Rouard</cp:lastModifiedBy>
  <cp:lastPrinted>2014-01-22T14:25:30Z</cp:lastPrinted>
  <dcterms:created xsi:type="dcterms:W3CDTF">2013-11-27T08:48:10Z</dcterms:created>
  <dcterms:modified xsi:type="dcterms:W3CDTF">2018-10-05T07:48:59Z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